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9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endario anual" sheetId="1" state="visible" r:id="rId3"/>
    <sheet name="Enero" sheetId="2" state="visible" r:id="rId4"/>
    <sheet name="Febrero" sheetId="3" state="visible" r:id="rId5"/>
    <sheet name="Marzo" sheetId="4" state="visible" r:id="rId6"/>
    <sheet name="Abril" sheetId="5" state="visible" r:id="rId7"/>
    <sheet name="Mayo" sheetId="6" state="visible" r:id="rId8"/>
    <sheet name="Junio" sheetId="7" state="visible" r:id="rId9"/>
    <sheet name="Julio" sheetId="8" state="visible" r:id="rId10"/>
    <sheet name="Agosto" sheetId="9" state="visible" r:id="rId11"/>
    <sheet name="Septiembre" sheetId="10" state="visible" r:id="rId12"/>
    <sheet name="Octubre" sheetId="11" state="visible" r:id="rId13"/>
    <sheet name="Noviembre" sheetId="12" state="visible" r:id="rId14"/>
    <sheet name="Diciembre" sheetId="13" state="visible" r:id="rId15"/>
  </sheets>
  <definedNames>
    <definedName function="false" hidden="false" localSheetId="4" name="_xlnm.Print_Area" vbProcedure="false">Abril!$A$1:$J$18</definedName>
    <definedName function="false" hidden="false" localSheetId="8" name="_xlnm.Print_Area" vbProcedure="false">Agosto!$A$1:$J$18</definedName>
    <definedName function="false" hidden="false" localSheetId="0" name="_xlnm.Print_Area" vbProcedure="false">'Calendario anual'!$A$1:$Y$42</definedName>
    <definedName function="false" hidden="false" localSheetId="12" name="_xlnm.Print_Area" vbProcedure="false">Diciembre!$A$1:$J$18</definedName>
    <definedName function="false" hidden="false" localSheetId="1" name="_xlnm.Print_Area" vbProcedure="false">Enero!$A$1:$J$18</definedName>
    <definedName function="false" hidden="false" localSheetId="2" name="_xlnm.Print_Area" vbProcedure="false">Febrero!$A$1:$J$18</definedName>
    <definedName function="false" hidden="false" localSheetId="7" name="_xlnm.Print_Area" vbProcedure="false">Julio!$A$1:$J$18</definedName>
    <definedName function="false" hidden="false" localSheetId="6" name="_xlnm.Print_Area" vbProcedure="false">Junio!$A$1:$J$18</definedName>
    <definedName function="false" hidden="false" localSheetId="3" name="_xlnm.Print_Area" vbProcedure="false">Marzo!$A$1:$J$18</definedName>
    <definedName function="false" hidden="false" localSheetId="5" name="_xlnm.Print_Area" vbProcedure="false">Mayo!$A$1:$J$18</definedName>
    <definedName function="false" hidden="false" localSheetId="11" name="_xlnm.Print_Area" vbProcedure="false">Noviembre!$A$1:$J$18</definedName>
    <definedName function="false" hidden="false" localSheetId="10" name="_xlnm.Print_Area" vbProcedure="false">Octubre!$A$1:$J$18</definedName>
    <definedName function="false" hidden="false" localSheetId="9" name="_xlnm.Print_Area" vbProcedure="false">Septiembre!$A$1:$J$18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3" authorId="0">
      <text>
        <r>
          <rPr>
            <sz val="10"/>
            <rFont val="Arial"/>
            <family val="2"/>
          </rPr>
          <t xml:space="preserve">Escribe aquí otro año (por ejemplo 2028) y todo el calendario se actualiza solo, incluidas las hojas de cada mes.</t>
        </r>
      </text>
    </comment>
  </commentList>
</comments>
</file>

<file path=xl/sharedStrings.xml><?xml version="1.0" encoding="utf-8"?>
<sst xmlns="http://schemas.openxmlformats.org/spreadsheetml/2006/main" count="209" uniqueCount="31">
  <si>
    <t xml:space="preserve">CALENDARIO</t>
  </si>
  <si>
    <t xml:space="preserve">Año:</t>
  </si>
  <si>
    <t xml:space="preserve">← Cambia el año en la celda amarilla y todo se actualiza solo.</t>
  </si>
  <si>
    <t xml:space="preserve">ENERO</t>
  </si>
  <si>
    <t xml:space="preserve">FEBRERO</t>
  </si>
  <si>
    <t xml:space="preserve">MARZO</t>
  </si>
  <si>
    <t xml:space="preserve">L</t>
  </si>
  <si>
    <t xml:space="preserve">M</t>
  </si>
  <si>
    <t xml:space="preserve">J</t>
  </si>
  <si>
    <t xml:space="preserve">V</t>
  </si>
  <si>
    <t xml:space="preserve">S</t>
  </si>
  <si>
    <t xml:space="preserve">D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</si>
  <si>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</si>
  <si>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</si>
  <si>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</si>
  <si>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</si>
  <si>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</si>
  <si>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</si>
  <si>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</si>
  <si>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</si>
  <si>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</si>
  <si>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© 2026 Plantilla Lista · plantillalista.com · Uso libre personal y de negocio. Prohibida su venta o redistribución.</t>
  </si>
  <si>
    <t xml:space="preserve">Las hojas de cada mes (pestañas de abajo) tienen espacio para escribir tus notas, citas y pendientes.</t>
  </si>
  <si>
    <t xml:space="preserve">LUNES</t>
  </si>
  <si>
    <t xml:space="preserve">MARTES</t>
  </si>
  <si>
    <t xml:space="preserve">MIÉRCOLES</t>
  </si>
  <si>
    <t xml:space="preserve">JUEVES</t>
  </si>
  <si>
    <t xml:space="preserve">VIERNES</t>
  </si>
  <si>
    <t xml:space="preserve">SÁBADO</t>
  </si>
  <si>
    <t xml:space="preserve">DOMINGO</t>
  </si>
  <si>
    <t xml:space="preserve">NOTAS DEL MES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</si>
</sst>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F172A"/>
      <name val="Arial"/>
      <family val="0"/>
      <charset val="1"/>
    </font>
    <font>
      <b val="true"/>
      <sz val="12"/>
      <color rgb="FF64748B"/>
      <name val="Arial"/>
      <family val="0"/>
      <charset val="1"/>
    </font>
    <font>
      <b val="true"/>
      <sz val="16"/>
      <color rgb="FF0000FF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15803D"/>
      <name val="Arial"/>
      <family val="0"/>
      <charset val="1"/>
    </font>
    <font>
      <sz val="9"/>
      <color rgb="FF0F172A"/>
      <name val="Arial"/>
      <family val="0"/>
      <charset val="1"/>
    </font>
    <font>
      <b val="true"/>
      <sz val="9"/>
      <color rgb="FF0F172A"/>
      <name val="Arial"/>
      <family val="0"/>
      <charset val="1"/>
    </font>
    <font>
      <b val="true"/>
      <sz val="9"/>
      <color rgb="FFDC2626"/>
      <name val="Arial"/>
      <family val="0"/>
      <charset val="1"/>
    </font>
    <font>
      <sz val="8"/>
      <color rgb="FF64748B"/>
      <name val="Arial"/>
      <family val="0"/>
      <charset val="1"/>
    </font>
    <font>
      <sz val="10"/>
      <name val="Arial"/>
      <family val="2"/>
    </font>
    <font>
      <b val="true"/>
      <sz val="26"/>
      <color rgb="FF15803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0F172A"/>
      <name val="Arial"/>
      <family val="0"/>
      <charset val="1"/>
    </font>
    <font>
      <b val="true"/>
      <sz val="12"/>
      <color rgb="FFDC2626"/>
      <name val="Arial"/>
      <family val="0"/>
      <charset val="1"/>
    </font>
    <font>
      <sz val="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5803D"/>
        <bgColor rgb="FF008080"/>
      </patternFill>
    </fill>
    <fill>
      <patternFill patternType="solid">
        <fgColor rgb="FFDCFCE7"/>
        <bgColor rgb="FFCCFFFF"/>
      </patternFill>
    </fill>
    <fill>
      <patternFill patternType="solid">
        <fgColor rgb="FFF1F5F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/>
      <diagonal/>
    </border>
    <border diagonalUp="false" diagonalDown="false">
      <left/>
      <right/>
      <top/>
      <bottom style="thin">
        <color rgb="FFCBD5E1"/>
      </bottom>
      <diagonal/>
    </border>
    <border diagonalUp="false" diagonalDown="false">
      <left style="thin">
        <color rgb="FFCBD5E1"/>
      </left>
      <right style="thin">
        <color rgb="FFCBD5E1"/>
      </right>
      <top/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1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2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5" fontId="17" fillId="5" borderId="2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5" fontId="18" fillId="5" borderId="2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1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5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1F5F9"/>
      <rgbColor rgb="FFDCFCE7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X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4.6"/>
    <col collapsed="false" customWidth="true" hidden="false" outlineLevel="0" max="9" min="9" style="0" width="2.5"/>
    <col collapsed="false" customWidth="true" hidden="false" outlineLevel="0" max="16" min="10" style="0" width="4.6"/>
    <col collapsed="false" customWidth="true" hidden="false" outlineLevel="0" max="17" min="17" style="0" width="2.5"/>
    <col collapsed="false" customWidth="true" hidden="false" outlineLevel="0" max="24" min="18" style="0" width="4.6"/>
    <col collapsed="false" customWidth="true" hidden="false" outlineLevel="0" max="25" min="25" style="0" width="2.5"/>
  </cols>
  <sheetData>
    <row r="2" customFormat="false" ht="31.5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25.5" hidden="false" customHeight="true" outlineLevel="0" collapsed="false">
      <c r="B3" s="2" t="s">
        <v>1</v>
      </c>
      <c r="C3" s="3" t="n">
        <v>2027</v>
      </c>
      <c r="D3" s="3"/>
      <c r="F3" s="4" t="s">
        <v>2</v>
      </c>
    </row>
    <row r="5" customFormat="false" ht="19.5" hidden="false" customHeight="true" outlineLevel="0" collapsed="false">
      <c r="B5" s="5" t="s">
        <v>3</v>
      </c>
      <c r="C5" s="5"/>
      <c r="D5" s="5"/>
      <c r="E5" s="5"/>
      <c r="F5" s="5"/>
      <c r="G5" s="5"/>
      <c r="H5" s="5"/>
      <c r="J5" s="5" t="s">
        <v>4</v>
      </c>
      <c r="K5" s="5"/>
      <c r="L5" s="5"/>
      <c r="M5" s="5"/>
      <c r="N5" s="5"/>
      <c r="O5" s="5"/>
      <c r="P5" s="5"/>
      <c r="R5" s="5" t="s">
        <v>5</v>
      </c>
      <c r="S5" s="5"/>
      <c r="T5" s="5"/>
      <c r="U5" s="5"/>
      <c r="V5" s="5"/>
      <c r="W5" s="5"/>
      <c r="X5" s="5"/>
    </row>
    <row r="6" customFormat="false" ht="15.75" hidden="false" customHeight="true" outlineLevel="0" collapsed="false">
      <c r="B6" s="6" t="s">
        <v>6</v>
      </c>
      <c r="C6" s="6" t="s">
        <v>7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J6" s="6" t="s">
        <v>6</v>
      </c>
      <c r="K6" s="6" t="s">
        <v>7</v>
      </c>
      <c r="L6" s="6" t="s">
        <v>7</v>
      </c>
      <c r="M6" s="6" t="s">
        <v>8</v>
      </c>
      <c r="N6" s="6" t="s">
        <v>9</v>
      </c>
      <c r="O6" s="6" t="s">
        <v>10</v>
      </c>
      <c r="P6" s="6" t="s">
        <v>11</v>
      </c>
      <c r="R6" s="6" t="s">
        <v>6</v>
      </c>
      <c r="S6" s="6" t="s">
        <v>7</v>
      </c>
      <c r="T6" s="6" t="s">
        <v>7</v>
      </c>
      <c r="U6" s="6" t="s">
        <v>8</v>
      </c>
      <c r="V6" s="6" t="s">
        <v>9</v>
      </c>
      <c r="W6" s="6" t="s">
        <v>10</v>
      </c>
      <c r="X6" s="6" t="s">
        <v>11</v>
      </c>
    </row>
    <row r="7" customFormat="false" ht="15.75" hidden="false" customHeight="true" outlineLevel="0" collapsed="false">
      <c r="B7" s="7" t="str">
        <f aca="false">IF(MONTH((DATE($C$3,1,1)-WEEKDAY(DATE($C$3,1,1),3)+0))=1,DAY((DATE($C$3,1,1)-WEEKDAY(DATE($C$3,1,1),3)+0)),"")</f>
        <v/>
      </c>
      <c r="C7" s="7" t="str">
        <f aca="false">IF(MONTH((DATE($C$3,1,1)-WEEKDAY(DATE($C$3,1,1),3)+1))=1,DAY((DATE($C$3,1,1)-WEEKDAY(DATE($C$3,1,1),3)+1)),"")</f>
        <v/>
      </c>
      <c r="D7" s="7" t="str">
        <f aca="false">IF(MONTH((DATE($C$3,1,1)-WEEKDAY(DATE($C$3,1,1),3)+2))=1,DAY((DATE($C$3,1,1)-WEEKDAY(DATE($C$3,1,1),3)+2)),"")</f>
        <v/>
      </c>
      <c r="E7" s="7" t="str">
        <f aca="false">IF(MONTH((DATE($C$3,1,1)-WEEKDAY(DATE($C$3,1,1),3)+3))=1,DAY((DATE($C$3,1,1)-WEEKDAY(DATE($C$3,1,1),3)+3)),"")</f>
        <v/>
      </c>
      <c r="F7" s="7" t="n">
        <f aca="false">IF(MONTH((DATE($C$3,1,1)-WEEKDAY(DATE($C$3,1,1),3)+4))=1,DAY((DATE($C$3,1,1)-WEEKDAY(DATE($C$3,1,1),3)+4)),"")</f>
        <v>1</v>
      </c>
      <c r="G7" s="8" t="n">
        <f aca="false">IF(MONTH((DATE($C$3,1,1)-WEEKDAY(DATE($C$3,1,1),3)+5))=1,DAY((DATE($C$3,1,1)-WEEKDAY(DATE($C$3,1,1),3)+5)),"")</f>
        <v>2</v>
      </c>
      <c r="H7" s="9" t="n">
        <f aca="false">IF(MONTH((DATE($C$3,1,1)-WEEKDAY(DATE($C$3,1,1),3)+6))=1,DAY((DATE($C$3,1,1)-WEEKDAY(DATE($C$3,1,1),3)+6)),"")</f>
        <v>3</v>
      </c>
      <c r="J7" s="7" t="n">
        <f aca="false">IF(MONTH((DATE($C$3,2,1)-WEEKDAY(DATE($C$3,2,1),3)+0))=2,DAY((DATE($C$3,2,1)-WEEKDAY(DATE($C$3,2,1),3)+0)),"")</f>
        <v>1</v>
      </c>
      <c r="K7" s="7" t="n">
        <f aca="false">IF(MONTH((DATE($C$3,2,1)-WEEKDAY(DATE($C$3,2,1),3)+1))=2,DAY((DATE($C$3,2,1)-WEEKDAY(DATE($C$3,2,1),3)+1)),"")</f>
        <v>2</v>
      </c>
      <c r="L7" s="7" t="n">
        <f aca="false">IF(MONTH((DATE($C$3,2,1)-WEEKDAY(DATE($C$3,2,1),3)+2))=2,DAY((DATE($C$3,2,1)-WEEKDAY(DATE($C$3,2,1),3)+2)),"")</f>
        <v>3</v>
      </c>
      <c r="M7" s="7" t="n">
        <f aca="false">IF(MONTH((DATE($C$3,2,1)-WEEKDAY(DATE($C$3,2,1),3)+3))=2,DAY((DATE($C$3,2,1)-WEEKDAY(DATE($C$3,2,1),3)+3)),"")</f>
        <v>4</v>
      </c>
      <c r="N7" s="7" t="n">
        <f aca="false">IF(MONTH((DATE($C$3,2,1)-WEEKDAY(DATE($C$3,2,1),3)+4))=2,DAY((DATE($C$3,2,1)-WEEKDAY(DATE($C$3,2,1),3)+4)),"")</f>
        <v>5</v>
      </c>
      <c r="O7" s="8" t="n">
        <f aca="false">IF(MONTH((DATE($C$3,2,1)-WEEKDAY(DATE($C$3,2,1),3)+5))=2,DAY((DATE($C$3,2,1)-WEEKDAY(DATE($C$3,2,1),3)+5)),"")</f>
        <v>6</v>
      </c>
      <c r="P7" s="9" t="n">
        <f aca="false">IF(MONTH((DATE($C$3,2,1)-WEEKDAY(DATE($C$3,2,1),3)+6))=2,DAY((DATE($C$3,2,1)-WEEKDAY(DATE($C$3,2,1),3)+6)),"")</f>
        <v>7</v>
      </c>
      <c r="R7" s="7" t="n">
        <f aca="false">IF(MONTH((DATE($C$3,3,1)-WEEKDAY(DATE($C$3,3,1),3)+0))=3,DAY((DATE($C$3,3,1)-WEEKDAY(DATE($C$3,3,1),3)+0)),"")</f>
        <v>1</v>
      </c>
      <c r="S7" s="7" t="n">
        <f aca="false">IF(MONTH((DATE($C$3,3,1)-WEEKDAY(DATE($C$3,3,1),3)+1))=3,DAY((DATE($C$3,3,1)-WEEKDAY(DATE($C$3,3,1),3)+1)),"")</f>
        <v>2</v>
      </c>
      <c r="T7" s="7" t="n">
        <f aca="false">IF(MONTH((DATE($C$3,3,1)-WEEKDAY(DATE($C$3,3,1),3)+2))=3,DAY((DATE($C$3,3,1)-WEEKDAY(DATE($C$3,3,1),3)+2)),"")</f>
        <v>3</v>
      </c>
      <c r="U7" s="7" t="n">
        <f aca="false">IF(MONTH((DATE($C$3,3,1)-WEEKDAY(DATE($C$3,3,1),3)+3))=3,DAY((DATE($C$3,3,1)-WEEKDAY(DATE($C$3,3,1),3)+3)),"")</f>
        <v>4</v>
      </c>
      <c r="V7" s="7" t="n">
        <f aca="false">IF(MONTH((DATE($C$3,3,1)-WEEKDAY(DATE($C$3,3,1),3)+4))=3,DAY((DATE($C$3,3,1)-WEEKDAY(DATE($C$3,3,1),3)+4)),"")</f>
        <v>5</v>
      </c>
      <c r="W7" s="8" t="n">
        <f aca="false">IF(MONTH((DATE($C$3,3,1)-WEEKDAY(DATE($C$3,3,1),3)+5))=3,DAY((DATE($C$3,3,1)-WEEKDAY(DATE($C$3,3,1),3)+5)),"")</f>
        <v>6</v>
      </c>
      <c r="X7" s="9" t="n">
        <f aca="false">IF(MONTH((DATE($C$3,3,1)-WEEKDAY(DATE($C$3,3,1),3)+6))=3,DAY((DATE($C$3,3,1)-WEEKDAY(DATE($C$3,3,1),3)+6)),"")</f>
        <v>7</v>
      </c>
    </row>
    <row r="8" customFormat="false" ht="15.75" hidden="false" customHeight="true" outlineLevel="0" collapsed="false">
      <c r="B8" s="7" t="n">
        <f aca="false">IF(MONTH((DATE($C$3,1,1)-WEEKDAY(DATE($C$3,1,1),3)+7))=1,DAY((DATE($C$3,1,1)-WEEKDAY(DATE($C$3,1,1),3)+7)),"")</f>
        <v>4</v>
      </c>
      <c r="C8" s="7" t="n">
        <f aca="false">IF(MONTH((DATE($C$3,1,1)-WEEKDAY(DATE($C$3,1,1),3)+8))=1,DAY((DATE($C$3,1,1)-WEEKDAY(DATE($C$3,1,1),3)+8)),"")</f>
        <v>5</v>
      </c>
      <c r="D8" s="7" t="n">
        <f aca="false">IF(MONTH((DATE($C$3,1,1)-WEEKDAY(DATE($C$3,1,1),3)+9))=1,DAY((DATE($C$3,1,1)-WEEKDAY(DATE($C$3,1,1),3)+9)),"")</f>
        <v>6</v>
      </c>
      <c r="E8" s="7" t="n">
        <f aca="false">IF(MONTH((DATE($C$3,1,1)-WEEKDAY(DATE($C$3,1,1),3)+10))=1,DAY((DATE($C$3,1,1)-WEEKDAY(DATE($C$3,1,1),3)+10)),"")</f>
        <v>7</v>
      </c>
      <c r="F8" s="7" t="n">
        <f aca="false">IF(MONTH((DATE($C$3,1,1)-WEEKDAY(DATE($C$3,1,1),3)+11))=1,DAY((DATE($C$3,1,1)-WEEKDAY(DATE($C$3,1,1),3)+11)),"")</f>
        <v>8</v>
      </c>
      <c r="G8" s="8" t="n">
        <f aca="false">IF(MONTH((DATE($C$3,1,1)-WEEKDAY(DATE($C$3,1,1),3)+12))=1,DAY((DATE($C$3,1,1)-WEEKDAY(DATE($C$3,1,1),3)+12)),"")</f>
        <v>9</v>
      </c>
      <c r="H8" s="9" t="n">
        <f aca="false">IF(MONTH((DATE($C$3,1,1)-WEEKDAY(DATE($C$3,1,1),3)+13))=1,DAY((DATE($C$3,1,1)-WEEKDAY(DATE($C$3,1,1),3)+13)),"")</f>
        <v>10</v>
      </c>
      <c r="J8" s="7" t="n">
        <f aca="false">IF(MONTH((DATE($C$3,2,1)-WEEKDAY(DATE($C$3,2,1),3)+7))=2,DAY((DATE($C$3,2,1)-WEEKDAY(DATE($C$3,2,1),3)+7)),"")</f>
        <v>8</v>
      </c>
      <c r="K8" s="7" t="n">
        <f aca="false">IF(MONTH((DATE($C$3,2,1)-WEEKDAY(DATE($C$3,2,1),3)+8))=2,DAY((DATE($C$3,2,1)-WEEKDAY(DATE($C$3,2,1),3)+8)),"")</f>
        <v>9</v>
      </c>
      <c r="L8" s="7" t="n">
        <f aca="false">IF(MONTH((DATE($C$3,2,1)-WEEKDAY(DATE($C$3,2,1),3)+9))=2,DAY((DATE($C$3,2,1)-WEEKDAY(DATE($C$3,2,1),3)+9)),"")</f>
        <v>10</v>
      </c>
      <c r="M8" s="7" t="n">
        <f aca="false">IF(MONTH((DATE($C$3,2,1)-WEEKDAY(DATE($C$3,2,1),3)+10))=2,DAY((DATE($C$3,2,1)-WEEKDAY(DATE($C$3,2,1),3)+10)),"")</f>
        <v>11</v>
      </c>
      <c r="N8" s="7" t="n">
        <f aca="false">IF(MONTH((DATE($C$3,2,1)-WEEKDAY(DATE($C$3,2,1),3)+11))=2,DAY((DATE($C$3,2,1)-WEEKDAY(DATE($C$3,2,1),3)+11)),"")</f>
        <v>12</v>
      </c>
      <c r="O8" s="8" t="n">
        <f aca="false">IF(MONTH((DATE($C$3,2,1)-WEEKDAY(DATE($C$3,2,1),3)+12))=2,DAY((DATE($C$3,2,1)-WEEKDAY(DATE($C$3,2,1),3)+12)),"")</f>
        <v>13</v>
      </c>
      <c r="P8" s="9" t="n">
        <f aca="false">IF(MONTH((DATE($C$3,2,1)-WEEKDAY(DATE($C$3,2,1),3)+13))=2,DAY((DATE($C$3,2,1)-WEEKDAY(DATE($C$3,2,1),3)+13)),"")</f>
        <v>14</v>
      </c>
      <c r="R8" s="7" t="n">
        <f aca="false">IF(MONTH((DATE($C$3,3,1)-WEEKDAY(DATE($C$3,3,1),3)+7))=3,DAY((DATE($C$3,3,1)-WEEKDAY(DATE($C$3,3,1),3)+7)),"")</f>
        <v>8</v>
      </c>
      <c r="S8" s="7" t="n">
        <f aca="false">IF(MONTH((DATE($C$3,3,1)-WEEKDAY(DATE($C$3,3,1),3)+8))=3,DAY((DATE($C$3,3,1)-WEEKDAY(DATE($C$3,3,1),3)+8)),"")</f>
        <v>9</v>
      </c>
      <c r="T8" s="7" t="n">
        <f aca="false">IF(MONTH((DATE($C$3,3,1)-WEEKDAY(DATE($C$3,3,1),3)+9))=3,DAY((DATE($C$3,3,1)-WEEKDAY(DATE($C$3,3,1),3)+9)),"")</f>
        <v>10</v>
      </c>
      <c r="U8" s="7" t="n">
        <f aca="false">IF(MONTH((DATE($C$3,3,1)-WEEKDAY(DATE($C$3,3,1),3)+10))=3,DAY((DATE($C$3,3,1)-WEEKDAY(DATE($C$3,3,1),3)+10)),"")</f>
        <v>11</v>
      </c>
      <c r="V8" s="7" t="n">
        <f aca="false">IF(MONTH((DATE($C$3,3,1)-WEEKDAY(DATE($C$3,3,1),3)+11))=3,DAY((DATE($C$3,3,1)-WEEKDAY(DATE($C$3,3,1),3)+11)),"")</f>
        <v>12</v>
      </c>
      <c r="W8" s="8" t="n">
        <f aca="false">IF(MONTH((DATE($C$3,3,1)-WEEKDAY(DATE($C$3,3,1),3)+12))=3,DAY((DATE($C$3,3,1)-WEEKDAY(DATE($C$3,3,1),3)+12)),"")</f>
        <v>13</v>
      </c>
      <c r="X8" s="9" t="n">
        <f aca="false">IF(MONTH((DATE($C$3,3,1)-WEEKDAY(DATE($C$3,3,1),3)+13))=3,DAY((DATE($C$3,3,1)-WEEKDAY(DATE($C$3,3,1),3)+13)),"")</f>
        <v>14</v>
      </c>
    </row>
    <row r="9" customFormat="false" ht="15.75" hidden="false" customHeight="true" outlineLevel="0" collapsed="false">
      <c r="B9" s="7" t="n">
        <f aca="false">IF(MONTH((DATE($C$3,1,1)-WEEKDAY(DATE($C$3,1,1),3)+14))=1,DAY((DATE($C$3,1,1)-WEEKDAY(DATE($C$3,1,1),3)+14)),"")</f>
        <v>11</v>
      </c>
      <c r="C9" s="7" t="n">
        <f aca="false">IF(MONTH((DATE($C$3,1,1)-WEEKDAY(DATE($C$3,1,1),3)+15))=1,DAY((DATE($C$3,1,1)-WEEKDAY(DATE($C$3,1,1),3)+15)),"")</f>
        <v>12</v>
      </c>
      <c r="D9" s="7" t="n">
        <f aca="false">IF(MONTH((DATE($C$3,1,1)-WEEKDAY(DATE($C$3,1,1),3)+16))=1,DAY((DATE($C$3,1,1)-WEEKDAY(DATE($C$3,1,1),3)+16)),"")</f>
        <v>13</v>
      </c>
      <c r="E9" s="7" t="n">
        <f aca="false">IF(MONTH((DATE($C$3,1,1)-WEEKDAY(DATE($C$3,1,1),3)+17))=1,DAY((DATE($C$3,1,1)-WEEKDAY(DATE($C$3,1,1),3)+17)),"")</f>
        <v>14</v>
      </c>
      <c r="F9" s="7" t="n">
        <f aca="false">IF(MONTH((DATE($C$3,1,1)-WEEKDAY(DATE($C$3,1,1),3)+18))=1,DAY((DATE($C$3,1,1)-WEEKDAY(DATE($C$3,1,1),3)+18)),"")</f>
        <v>15</v>
      </c>
      <c r="G9" s="8" t="n">
        <f aca="false">IF(MONTH((DATE($C$3,1,1)-WEEKDAY(DATE($C$3,1,1),3)+19))=1,DAY((DATE($C$3,1,1)-WEEKDAY(DATE($C$3,1,1),3)+19)),"")</f>
        <v>16</v>
      </c>
      <c r="H9" s="9" t="n">
        <f aca="false">IF(MONTH((DATE($C$3,1,1)-WEEKDAY(DATE($C$3,1,1),3)+20))=1,DAY((DATE($C$3,1,1)-WEEKDAY(DATE($C$3,1,1),3)+20)),"")</f>
        <v>17</v>
      </c>
      <c r="J9" s="7" t="n">
        <f aca="false">IF(MONTH((DATE($C$3,2,1)-WEEKDAY(DATE($C$3,2,1),3)+14))=2,DAY((DATE($C$3,2,1)-WEEKDAY(DATE($C$3,2,1),3)+14)),"")</f>
        <v>15</v>
      </c>
      <c r="K9" s="7" t="n">
        <f aca="false">IF(MONTH((DATE($C$3,2,1)-WEEKDAY(DATE($C$3,2,1),3)+15))=2,DAY((DATE($C$3,2,1)-WEEKDAY(DATE($C$3,2,1),3)+15)),"")</f>
        <v>16</v>
      </c>
      <c r="L9" s="7" t="n">
        <f aca="false">IF(MONTH((DATE($C$3,2,1)-WEEKDAY(DATE($C$3,2,1),3)+16))=2,DAY((DATE($C$3,2,1)-WEEKDAY(DATE($C$3,2,1),3)+16)),"")</f>
        <v>17</v>
      </c>
      <c r="M9" s="7" t="n">
        <f aca="false">IF(MONTH((DATE($C$3,2,1)-WEEKDAY(DATE($C$3,2,1),3)+17))=2,DAY((DATE($C$3,2,1)-WEEKDAY(DATE($C$3,2,1),3)+17)),"")</f>
        <v>18</v>
      </c>
      <c r="N9" s="7" t="n">
        <f aca="false">IF(MONTH((DATE($C$3,2,1)-WEEKDAY(DATE($C$3,2,1),3)+18))=2,DAY((DATE($C$3,2,1)-WEEKDAY(DATE($C$3,2,1),3)+18)),"")</f>
        <v>19</v>
      </c>
      <c r="O9" s="8" t="n">
        <f aca="false">IF(MONTH((DATE($C$3,2,1)-WEEKDAY(DATE($C$3,2,1),3)+19))=2,DAY((DATE($C$3,2,1)-WEEKDAY(DATE($C$3,2,1),3)+19)),"")</f>
        <v>20</v>
      </c>
      <c r="P9" s="9" t="n">
        <f aca="false">IF(MONTH((DATE($C$3,2,1)-WEEKDAY(DATE($C$3,2,1),3)+20))=2,DAY((DATE($C$3,2,1)-WEEKDAY(DATE($C$3,2,1),3)+20)),"")</f>
        <v>21</v>
      </c>
      <c r="R9" s="7" t="n">
        <f aca="false">IF(MONTH((DATE($C$3,3,1)-WEEKDAY(DATE($C$3,3,1),3)+14))=3,DAY((DATE($C$3,3,1)-WEEKDAY(DATE($C$3,3,1),3)+14)),"")</f>
        <v>15</v>
      </c>
      <c r="S9" s="7" t="n">
        <f aca="false">IF(MONTH((DATE($C$3,3,1)-WEEKDAY(DATE($C$3,3,1),3)+15))=3,DAY((DATE($C$3,3,1)-WEEKDAY(DATE($C$3,3,1),3)+15)),"")</f>
        <v>16</v>
      </c>
      <c r="T9" s="7" t="n">
        <f aca="false">IF(MONTH((DATE($C$3,3,1)-WEEKDAY(DATE($C$3,3,1),3)+16))=3,DAY((DATE($C$3,3,1)-WEEKDAY(DATE($C$3,3,1),3)+16)),"")</f>
        <v>17</v>
      </c>
      <c r="U9" s="7" t="n">
        <f aca="false">IF(MONTH((DATE($C$3,3,1)-WEEKDAY(DATE($C$3,3,1),3)+17))=3,DAY((DATE($C$3,3,1)-WEEKDAY(DATE($C$3,3,1),3)+17)),"")</f>
        <v>18</v>
      </c>
      <c r="V9" s="7" t="n">
        <f aca="false">IF(MONTH((DATE($C$3,3,1)-WEEKDAY(DATE($C$3,3,1),3)+18))=3,DAY((DATE($C$3,3,1)-WEEKDAY(DATE($C$3,3,1),3)+18)),"")</f>
        <v>19</v>
      </c>
      <c r="W9" s="8" t="n">
        <f aca="false">IF(MONTH((DATE($C$3,3,1)-WEEKDAY(DATE($C$3,3,1),3)+19))=3,DAY((DATE($C$3,3,1)-WEEKDAY(DATE($C$3,3,1),3)+19)),"")</f>
        <v>20</v>
      </c>
      <c r="X9" s="9" t="n">
        <f aca="false">IF(MONTH((DATE($C$3,3,1)-WEEKDAY(DATE($C$3,3,1),3)+20))=3,DAY((DATE($C$3,3,1)-WEEKDAY(DATE($C$3,3,1),3)+20)),"")</f>
        <v>21</v>
      </c>
    </row>
    <row r="10" customFormat="false" ht="15.75" hidden="false" customHeight="true" outlineLevel="0" collapsed="false">
      <c r="B10" s="7" t="n">
        <f aca="false">IF(MONTH((DATE($C$3,1,1)-WEEKDAY(DATE($C$3,1,1),3)+21))=1,DAY((DATE($C$3,1,1)-WEEKDAY(DATE($C$3,1,1),3)+21)),"")</f>
        <v>18</v>
      </c>
      <c r="C10" s="7" t="n">
        <f aca="false">IF(MONTH((DATE($C$3,1,1)-WEEKDAY(DATE($C$3,1,1),3)+22))=1,DAY((DATE($C$3,1,1)-WEEKDAY(DATE($C$3,1,1),3)+22)),"")</f>
        <v>19</v>
      </c>
      <c r="D10" s="7" t="n">
        <f aca="false">IF(MONTH((DATE($C$3,1,1)-WEEKDAY(DATE($C$3,1,1),3)+23))=1,DAY((DATE($C$3,1,1)-WEEKDAY(DATE($C$3,1,1),3)+23)),"")</f>
        <v>20</v>
      </c>
      <c r="E10" s="7" t="n">
        <f aca="false">IF(MONTH((DATE($C$3,1,1)-WEEKDAY(DATE($C$3,1,1),3)+24))=1,DAY((DATE($C$3,1,1)-WEEKDAY(DATE($C$3,1,1),3)+24)),"")</f>
        <v>21</v>
      </c>
      <c r="F10" s="7" t="n">
        <f aca="false">IF(MONTH((DATE($C$3,1,1)-WEEKDAY(DATE($C$3,1,1),3)+25))=1,DAY((DATE($C$3,1,1)-WEEKDAY(DATE($C$3,1,1),3)+25)),"")</f>
        <v>22</v>
      </c>
      <c r="G10" s="8" t="n">
        <f aca="false">IF(MONTH((DATE($C$3,1,1)-WEEKDAY(DATE($C$3,1,1),3)+26))=1,DAY((DATE($C$3,1,1)-WEEKDAY(DATE($C$3,1,1),3)+26)),"")</f>
        <v>23</v>
      </c>
      <c r="H10" s="9" t="n">
        <f aca="false">IF(MONTH((DATE($C$3,1,1)-WEEKDAY(DATE($C$3,1,1),3)+27))=1,DAY((DATE($C$3,1,1)-WEEKDAY(DATE($C$3,1,1),3)+27)),"")</f>
        <v>24</v>
      </c>
      <c r="J10" s="7" t="n">
        <f aca="false">IF(MONTH((DATE($C$3,2,1)-WEEKDAY(DATE($C$3,2,1),3)+21))=2,DAY((DATE($C$3,2,1)-WEEKDAY(DATE($C$3,2,1),3)+21)),"")</f>
        <v>22</v>
      </c>
      <c r="K10" s="7" t="n">
        <f aca="false">IF(MONTH((DATE($C$3,2,1)-WEEKDAY(DATE($C$3,2,1),3)+22))=2,DAY((DATE($C$3,2,1)-WEEKDAY(DATE($C$3,2,1),3)+22)),"")</f>
        <v>23</v>
      </c>
      <c r="L10" s="7" t="n">
        <f aca="false">IF(MONTH((DATE($C$3,2,1)-WEEKDAY(DATE($C$3,2,1),3)+23))=2,DAY((DATE($C$3,2,1)-WEEKDAY(DATE($C$3,2,1),3)+23)),"")</f>
        <v>24</v>
      </c>
      <c r="M10" s="7" t="n">
        <f aca="false">IF(MONTH((DATE($C$3,2,1)-WEEKDAY(DATE($C$3,2,1),3)+24))=2,DAY((DATE($C$3,2,1)-WEEKDAY(DATE($C$3,2,1),3)+24)),"")</f>
        <v>25</v>
      </c>
      <c r="N10" s="7" t="n">
        <f aca="false">IF(MONTH((DATE($C$3,2,1)-WEEKDAY(DATE($C$3,2,1),3)+25))=2,DAY((DATE($C$3,2,1)-WEEKDAY(DATE($C$3,2,1),3)+25)),"")</f>
        <v>26</v>
      </c>
      <c r="O10" s="8" t="n">
        <f aca="false">IF(MONTH((DATE($C$3,2,1)-WEEKDAY(DATE($C$3,2,1),3)+26))=2,DAY((DATE($C$3,2,1)-WEEKDAY(DATE($C$3,2,1),3)+26)),"")</f>
        <v>27</v>
      </c>
      <c r="P10" s="9" t="n">
        <f aca="false">IF(MONTH((DATE($C$3,2,1)-WEEKDAY(DATE($C$3,2,1),3)+27))=2,DAY((DATE($C$3,2,1)-WEEKDAY(DATE($C$3,2,1),3)+27)),"")</f>
        <v>28</v>
      </c>
      <c r="R10" s="7" t="n">
        <f aca="false">IF(MONTH((DATE($C$3,3,1)-WEEKDAY(DATE($C$3,3,1),3)+21))=3,DAY((DATE($C$3,3,1)-WEEKDAY(DATE($C$3,3,1),3)+21)),"")</f>
        <v>22</v>
      </c>
      <c r="S10" s="7" t="n">
        <f aca="false">IF(MONTH((DATE($C$3,3,1)-WEEKDAY(DATE($C$3,3,1),3)+22))=3,DAY((DATE($C$3,3,1)-WEEKDAY(DATE($C$3,3,1),3)+22)),"")</f>
        <v>23</v>
      </c>
      <c r="T10" s="7" t="n">
        <f aca="false">IF(MONTH((DATE($C$3,3,1)-WEEKDAY(DATE($C$3,3,1),3)+23))=3,DAY((DATE($C$3,3,1)-WEEKDAY(DATE($C$3,3,1),3)+23)),"")</f>
        <v>24</v>
      </c>
      <c r="U10" s="7" t="n">
        <f aca="false">IF(MONTH((DATE($C$3,3,1)-WEEKDAY(DATE($C$3,3,1),3)+24))=3,DAY((DATE($C$3,3,1)-WEEKDAY(DATE($C$3,3,1),3)+24)),"")</f>
        <v>25</v>
      </c>
      <c r="V10" s="7" t="n">
        <f aca="false">IF(MONTH((DATE($C$3,3,1)-WEEKDAY(DATE($C$3,3,1),3)+25))=3,DAY((DATE($C$3,3,1)-WEEKDAY(DATE($C$3,3,1),3)+25)),"")</f>
        <v>26</v>
      </c>
      <c r="W10" s="8" t="n">
        <f aca="false">IF(MONTH((DATE($C$3,3,1)-WEEKDAY(DATE($C$3,3,1),3)+26))=3,DAY((DATE($C$3,3,1)-WEEKDAY(DATE($C$3,3,1),3)+26)),"")</f>
        <v>27</v>
      </c>
      <c r="X10" s="9" t="n">
        <f aca="false">IF(MONTH((DATE($C$3,3,1)-WEEKDAY(DATE($C$3,3,1),3)+27))=3,DAY((DATE($C$3,3,1)-WEEKDAY(DATE($C$3,3,1),3)+27)),"")</f>
        <v>28</v>
      </c>
    </row>
    <row r="11" customFormat="false" ht="15.75" hidden="false" customHeight="true" outlineLevel="0" collapsed="false">
      <c r="B11" s="7" t="n">
        <f aca="false">IF(MONTH((DATE($C$3,1,1)-WEEKDAY(DATE($C$3,1,1),3)+28))=1,DAY((DATE($C$3,1,1)-WEEKDAY(DATE($C$3,1,1),3)+28)),"")</f>
        <v>25</v>
      </c>
      <c r="C11" s="7" t="n">
        <f aca="false">IF(MONTH((DATE($C$3,1,1)-WEEKDAY(DATE($C$3,1,1),3)+29))=1,DAY((DATE($C$3,1,1)-WEEKDAY(DATE($C$3,1,1),3)+29)),"")</f>
        <v>26</v>
      </c>
      <c r="D11" s="7" t="n">
        <f aca="false">IF(MONTH((DATE($C$3,1,1)-WEEKDAY(DATE($C$3,1,1),3)+30))=1,DAY((DATE($C$3,1,1)-WEEKDAY(DATE($C$3,1,1),3)+30)),"")</f>
        <v>27</v>
      </c>
      <c r="E11" s="7" t="n">
        <f aca="false">IF(MONTH((DATE($C$3,1,1)-WEEKDAY(DATE($C$3,1,1),3)+31))=1,DAY((DATE($C$3,1,1)-WEEKDAY(DATE($C$3,1,1),3)+31)),"")</f>
        <v>28</v>
      </c>
      <c r="F11" s="7" t="n">
        <f aca="false">IF(MONTH((DATE($C$3,1,1)-WEEKDAY(DATE($C$3,1,1),3)+32))=1,DAY((DATE($C$3,1,1)-WEEKDAY(DATE($C$3,1,1),3)+32)),"")</f>
        <v>29</v>
      </c>
      <c r="G11" s="8" t="n">
        <f aca="false">IF(MONTH((DATE($C$3,1,1)-WEEKDAY(DATE($C$3,1,1),3)+33))=1,DAY((DATE($C$3,1,1)-WEEKDAY(DATE($C$3,1,1),3)+33)),"")</f>
        <v>30</v>
      </c>
      <c r="H11" s="9" t="n">
        <f aca="false">IF(MONTH((DATE($C$3,1,1)-WEEKDAY(DATE($C$3,1,1),3)+34))=1,DAY((DATE($C$3,1,1)-WEEKDAY(DATE($C$3,1,1),3)+34)),"")</f>
        <v>31</v>
      </c>
      <c r="J11" s="7" t="str">
        <f aca="false">IF(MONTH((DATE($C$3,2,1)-WEEKDAY(DATE($C$3,2,1),3)+28))=2,DAY((DATE($C$3,2,1)-WEEKDAY(DATE($C$3,2,1),3)+28)),"")</f>
        <v/>
      </c>
      <c r="K11" s="7" t="str">
        <f aca="false">IF(MONTH((DATE($C$3,2,1)-WEEKDAY(DATE($C$3,2,1),3)+29))=2,DAY((DATE($C$3,2,1)-WEEKDAY(DATE($C$3,2,1),3)+29)),"")</f>
        <v/>
      </c>
      <c r="L11" s="7" t="str">
        <f aca="false">IF(MONTH((DATE($C$3,2,1)-WEEKDAY(DATE($C$3,2,1),3)+30))=2,DAY((DATE($C$3,2,1)-WEEKDAY(DATE($C$3,2,1),3)+30)),"")</f>
        <v/>
      </c>
      <c r="M11" s="7" t="str">
        <f aca="false">IF(MONTH((DATE($C$3,2,1)-WEEKDAY(DATE($C$3,2,1),3)+31))=2,DAY((DATE($C$3,2,1)-WEEKDAY(DATE($C$3,2,1),3)+31)),"")</f>
        <v/>
      </c>
      <c r="N11" s="7" t="str">
        <f aca="false">IF(MONTH((DATE($C$3,2,1)-WEEKDAY(DATE($C$3,2,1),3)+32))=2,DAY((DATE($C$3,2,1)-WEEKDAY(DATE($C$3,2,1),3)+32)),"")</f>
        <v/>
      </c>
      <c r="O11" s="8" t="str">
        <f aca="false">IF(MONTH((DATE($C$3,2,1)-WEEKDAY(DATE($C$3,2,1),3)+33))=2,DAY((DATE($C$3,2,1)-WEEKDAY(DATE($C$3,2,1),3)+33)),"")</f>
        <v/>
      </c>
      <c r="P11" s="9" t="str">
        <f aca="false">IF(MONTH((DATE($C$3,2,1)-WEEKDAY(DATE($C$3,2,1),3)+34))=2,DAY((DATE($C$3,2,1)-WEEKDAY(DATE($C$3,2,1),3)+34)),"")</f>
        <v/>
      </c>
      <c r="R11" s="7" t="n">
        <f aca="false">IF(MONTH((DATE($C$3,3,1)-WEEKDAY(DATE($C$3,3,1),3)+28))=3,DAY((DATE($C$3,3,1)-WEEKDAY(DATE($C$3,3,1),3)+28)),"")</f>
        <v>29</v>
      </c>
      <c r="S11" s="7" t="n">
        <f aca="false">IF(MONTH((DATE($C$3,3,1)-WEEKDAY(DATE($C$3,3,1),3)+29))=3,DAY((DATE($C$3,3,1)-WEEKDAY(DATE($C$3,3,1),3)+29)),"")</f>
        <v>30</v>
      </c>
      <c r="T11" s="7" t="n">
        <f aca="false">IF(MONTH((DATE($C$3,3,1)-WEEKDAY(DATE($C$3,3,1),3)+30))=3,DAY((DATE($C$3,3,1)-WEEKDAY(DATE($C$3,3,1),3)+30)),"")</f>
        <v>31</v>
      </c>
      <c r="U11" s="7" t="str">
        <f aca="false">IF(MONTH((DATE($C$3,3,1)-WEEKDAY(DATE($C$3,3,1),3)+31))=3,DAY((DATE($C$3,3,1)-WEEKDAY(DATE($C$3,3,1),3)+31)),"")</f>
        <v/>
      </c>
      <c r="V11" s="7" t="str">
        <f aca="false">IF(MONTH((DATE($C$3,3,1)-WEEKDAY(DATE($C$3,3,1),3)+32))=3,DAY((DATE($C$3,3,1)-WEEKDAY(DATE($C$3,3,1),3)+32)),"")</f>
        <v/>
      </c>
      <c r="W11" s="8" t="str">
        <f aca="false">IF(MONTH((DATE($C$3,3,1)-WEEKDAY(DATE($C$3,3,1),3)+33))=3,DAY((DATE($C$3,3,1)-WEEKDAY(DATE($C$3,3,1),3)+33)),"")</f>
        <v/>
      </c>
      <c r="X11" s="9" t="str">
        <f aca="false">IF(MONTH((DATE($C$3,3,1)-WEEKDAY(DATE($C$3,3,1),3)+34))=3,DAY((DATE($C$3,3,1)-WEEKDAY(DATE($C$3,3,1),3)+34)),"")</f>
        <v/>
      </c>
    </row>
    <row r="12" customFormat="false" ht="15.75" hidden="false" customHeight="true" outlineLevel="0" collapsed="false">
      <c r="B12" s="7" t="str">
        <f aca="false">IF(MONTH((DATE($C$3,1,1)-WEEKDAY(DATE($C$3,1,1),3)+35))=1,DAY((DATE($C$3,1,1)-WEEKDAY(DATE($C$3,1,1),3)+35)),"")</f>
        <v/>
      </c>
      <c r="C12" s="7" t="str">
        <f aca="false">IF(MONTH((DATE($C$3,1,1)-WEEKDAY(DATE($C$3,1,1),3)+36))=1,DAY((DATE($C$3,1,1)-WEEKDAY(DATE($C$3,1,1),3)+36)),"")</f>
        <v/>
      </c>
      <c r="D12" s="7" t="str">
        <f aca="false">IF(MONTH((DATE($C$3,1,1)-WEEKDAY(DATE($C$3,1,1),3)+37))=1,DAY((DATE($C$3,1,1)-WEEKDAY(DATE($C$3,1,1),3)+37)),"")</f>
        <v/>
      </c>
      <c r="E12" s="7" t="str">
        <f aca="false">IF(MONTH((DATE($C$3,1,1)-WEEKDAY(DATE($C$3,1,1),3)+38))=1,DAY((DATE($C$3,1,1)-WEEKDAY(DATE($C$3,1,1),3)+38)),"")</f>
        <v/>
      </c>
      <c r="F12" s="7" t="str">
        <f aca="false">IF(MONTH((DATE($C$3,1,1)-WEEKDAY(DATE($C$3,1,1),3)+39))=1,DAY((DATE($C$3,1,1)-WEEKDAY(DATE($C$3,1,1),3)+39)),"")</f>
        <v/>
      </c>
      <c r="G12" s="8" t="str">
        <f aca="false">IF(MONTH((DATE($C$3,1,1)-WEEKDAY(DATE($C$3,1,1),3)+40))=1,DAY((DATE($C$3,1,1)-WEEKDAY(DATE($C$3,1,1),3)+40)),"")</f>
        <v/>
      </c>
      <c r="H12" s="9" t="str">
        <f aca="false">IF(MONTH((DATE($C$3,1,1)-WEEKDAY(DATE($C$3,1,1),3)+41))=1,DAY((DATE($C$3,1,1)-WEEKDAY(DATE($C$3,1,1),3)+41)),"")</f>
        <v/>
      </c>
      <c r="J12" s="7" t="str">
        <f aca="false">IF(MONTH((DATE($C$3,2,1)-WEEKDAY(DATE($C$3,2,1),3)+35))=2,DAY((DATE($C$3,2,1)-WEEKDAY(DATE($C$3,2,1),3)+35)),"")</f>
        <v/>
      </c>
      <c r="K12" s="7" t="str">
        <f aca="false">IF(MONTH((DATE($C$3,2,1)-WEEKDAY(DATE($C$3,2,1),3)+36))=2,DAY((DATE($C$3,2,1)-WEEKDAY(DATE($C$3,2,1),3)+36)),"")</f>
        <v/>
      </c>
      <c r="L12" s="7" t="str">
        <f aca="false">IF(MONTH((DATE($C$3,2,1)-WEEKDAY(DATE($C$3,2,1),3)+37))=2,DAY((DATE($C$3,2,1)-WEEKDAY(DATE($C$3,2,1),3)+37)),"")</f>
        <v/>
      </c>
      <c r="M12" s="7" t="str">
        <f aca="false">IF(MONTH((DATE($C$3,2,1)-WEEKDAY(DATE($C$3,2,1),3)+38))=2,DAY((DATE($C$3,2,1)-WEEKDAY(DATE($C$3,2,1),3)+38)),"")</f>
        <v/>
      </c>
      <c r="N12" s="7" t="str">
        <f aca="false">IF(MONTH((DATE($C$3,2,1)-WEEKDAY(DATE($C$3,2,1),3)+39))=2,DAY((DATE($C$3,2,1)-WEEKDAY(DATE($C$3,2,1),3)+39)),"")</f>
        <v/>
      </c>
      <c r="O12" s="8" t="str">
        <f aca="false">IF(MONTH((DATE($C$3,2,1)-WEEKDAY(DATE($C$3,2,1),3)+40))=2,DAY((DATE($C$3,2,1)-WEEKDAY(DATE($C$3,2,1),3)+40)),"")</f>
        <v/>
      </c>
      <c r="P12" s="9" t="str">
        <f aca="false">IF(MONTH((DATE($C$3,2,1)-WEEKDAY(DATE($C$3,2,1),3)+41))=2,DAY((DATE($C$3,2,1)-WEEKDAY(DATE($C$3,2,1),3)+41)),"")</f>
        <v/>
      </c>
      <c r="R12" s="7" t="str">
        <f aca="false">IF(MONTH((DATE($C$3,3,1)-WEEKDAY(DATE($C$3,3,1),3)+35))=3,DAY((DATE($C$3,3,1)-WEEKDAY(DATE($C$3,3,1),3)+35)),"")</f>
        <v/>
      </c>
      <c r="S12" s="7" t="str">
        <f aca="false">IF(MONTH((DATE($C$3,3,1)-WEEKDAY(DATE($C$3,3,1),3)+36))=3,DAY((DATE($C$3,3,1)-WEEKDAY(DATE($C$3,3,1),3)+36)),"")</f>
        <v/>
      </c>
      <c r="T12" s="7" t="str">
        <f aca="false">IF(MONTH((DATE($C$3,3,1)-WEEKDAY(DATE($C$3,3,1),3)+37))=3,DAY((DATE($C$3,3,1)-WEEKDAY(DATE($C$3,3,1),3)+37)),"")</f>
        <v/>
      </c>
      <c r="U12" s="7" t="str">
        <f aca="false">IF(MONTH((DATE($C$3,3,1)-WEEKDAY(DATE($C$3,3,1),3)+38))=3,DAY((DATE($C$3,3,1)-WEEKDAY(DATE($C$3,3,1),3)+38)),"")</f>
        <v/>
      </c>
      <c r="V12" s="7" t="str">
        <f aca="false">IF(MONTH((DATE($C$3,3,1)-WEEKDAY(DATE($C$3,3,1),3)+39))=3,DAY((DATE($C$3,3,1)-WEEKDAY(DATE($C$3,3,1),3)+39)),"")</f>
        <v/>
      </c>
      <c r="W12" s="8" t="str">
        <f aca="false">IF(MONTH((DATE($C$3,3,1)-WEEKDAY(DATE($C$3,3,1),3)+40))=3,DAY((DATE($C$3,3,1)-WEEKDAY(DATE($C$3,3,1),3)+40)),"")</f>
        <v/>
      </c>
      <c r="X12" s="9" t="str">
        <f aca="false">IF(MONTH((DATE($C$3,3,1)-WEEKDAY(DATE($C$3,3,1),3)+41))=3,DAY((DATE($C$3,3,1)-WEEKDAY(DATE($C$3,3,1),3)+41)),"")</f>
        <v/>
      </c>
    </row>
    <row r="14" customFormat="false" ht="19.5" hidden="false" customHeight="true" outlineLevel="0" collapsed="false">
      <c r="B14" s="5" t="s">
        <v>12</v>
      </c>
      <c r="C14" s="5"/>
      <c r="D14" s="5"/>
      <c r="E14" s="5"/>
      <c r="F14" s="5"/>
      <c r="G14" s="5"/>
      <c r="H14" s="5"/>
      <c r="J14" s="5" t="s">
        <v>13</v>
      </c>
      <c r="K14" s="5"/>
      <c r="L14" s="5"/>
      <c r="M14" s="5"/>
      <c r="N14" s="5"/>
      <c r="O14" s="5"/>
      <c r="P14" s="5"/>
      <c r="R14" s="5" t="s">
        <v>14</v>
      </c>
      <c r="S14" s="5"/>
      <c r="T14" s="5"/>
      <c r="U14" s="5"/>
      <c r="V14" s="5"/>
      <c r="W14" s="5"/>
      <c r="X14" s="5"/>
    </row>
    <row r="15" customFormat="false" ht="15.75" hidden="false" customHeight="true" outlineLevel="0" collapsed="false">
      <c r="B15" s="6" t="s">
        <v>6</v>
      </c>
      <c r="C15" s="6" t="s">
        <v>7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J15" s="6" t="s">
        <v>6</v>
      </c>
      <c r="K15" s="6" t="s">
        <v>7</v>
      </c>
      <c r="L15" s="6" t="s">
        <v>7</v>
      </c>
      <c r="M15" s="6" t="s">
        <v>8</v>
      </c>
      <c r="N15" s="6" t="s">
        <v>9</v>
      </c>
      <c r="O15" s="6" t="s">
        <v>10</v>
      </c>
      <c r="P15" s="6" t="s">
        <v>11</v>
      </c>
      <c r="R15" s="6" t="s">
        <v>6</v>
      </c>
      <c r="S15" s="6" t="s">
        <v>7</v>
      </c>
      <c r="T15" s="6" t="s">
        <v>7</v>
      </c>
      <c r="U15" s="6" t="s">
        <v>8</v>
      </c>
      <c r="V15" s="6" t="s">
        <v>9</v>
      </c>
      <c r="W15" s="6" t="s">
        <v>10</v>
      </c>
      <c r="X15" s="6" t="s">
        <v>11</v>
      </c>
    </row>
    <row r="16" customFormat="false" ht="15.75" hidden="false" customHeight="true" outlineLevel="0" collapsed="false">
      <c r="B16" s="7" t="str">
        <f aca="false">IF(MONTH((DATE($C$3,4,1)-WEEKDAY(DATE($C$3,4,1),3)+0))=4,DAY((DATE($C$3,4,1)-WEEKDAY(DATE($C$3,4,1),3)+0)),"")</f>
        <v/>
      </c>
      <c r="C16" s="7" t="str">
        <f aca="false">IF(MONTH((DATE($C$3,4,1)-WEEKDAY(DATE($C$3,4,1),3)+1))=4,DAY((DATE($C$3,4,1)-WEEKDAY(DATE($C$3,4,1),3)+1)),"")</f>
        <v/>
      </c>
      <c r="D16" s="7" t="str">
        <f aca="false">IF(MONTH((DATE($C$3,4,1)-WEEKDAY(DATE($C$3,4,1),3)+2))=4,DAY((DATE($C$3,4,1)-WEEKDAY(DATE($C$3,4,1),3)+2)),"")</f>
        <v/>
      </c>
      <c r="E16" s="7" t="n">
        <f aca="false">IF(MONTH((DATE($C$3,4,1)-WEEKDAY(DATE($C$3,4,1),3)+3))=4,DAY((DATE($C$3,4,1)-WEEKDAY(DATE($C$3,4,1),3)+3)),"")</f>
        <v>1</v>
      </c>
      <c r="F16" s="7" t="n">
        <f aca="false">IF(MONTH((DATE($C$3,4,1)-WEEKDAY(DATE($C$3,4,1),3)+4))=4,DAY((DATE($C$3,4,1)-WEEKDAY(DATE($C$3,4,1),3)+4)),"")</f>
        <v>2</v>
      </c>
      <c r="G16" s="8" t="n">
        <f aca="false">IF(MONTH((DATE($C$3,4,1)-WEEKDAY(DATE($C$3,4,1),3)+5))=4,DAY((DATE($C$3,4,1)-WEEKDAY(DATE($C$3,4,1),3)+5)),"")</f>
        <v>3</v>
      </c>
      <c r="H16" s="9" t="n">
        <f aca="false">IF(MONTH((DATE($C$3,4,1)-WEEKDAY(DATE($C$3,4,1),3)+6))=4,DAY((DATE($C$3,4,1)-WEEKDAY(DATE($C$3,4,1),3)+6)),"")</f>
        <v>4</v>
      </c>
      <c r="J16" s="7" t="str">
        <f aca="false">IF(MONTH((DATE($C$3,5,1)-WEEKDAY(DATE($C$3,5,1),3)+0))=5,DAY((DATE($C$3,5,1)-WEEKDAY(DATE($C$3,5,1),3)+0)),"")</f>
        <v/>
      </c>
      <c r="K16" s="7" t="str">
        <f aca="false">IF(MONTH((DATE($C$3,5,1)-WEEKDAY(DATE($C$3,5,1),3)+1))=5,DAY((DATE($C$3,5,1)-WEEKDAY(DATE($C$3,5,1),3)+1)),"")</f>
        <v/>
      </c>
      <c r="L16" s="7" t="str">
        <f aca="false">IF(MONTH((DATE($C$3,5,1)-WEEKDAY(DATE($C$3,5,1),3)+2))=5,DAY((DATE($C$3,5,1)-WEEKDAY(DATE($C$3,5,1),3)+2)),"")</f>
        <v/>
      </c>
      <c r="M16" s="7" t="str">
        <f aca="false">IF(MONTH((DATE($C$3,5,1)-WEEKDAY(DATE($C$3,5,1),3)+3))=5,DAY((DATE($C$3,5,1)-WEEKDAY(DATE($C$3,5,1),3)+3)),"")</f>
        <v/>
      </c>
      <c r="N16" s="7" t="str">
        <f aca="false">IF(MONTH((DATE($C$3,5,1)-WEEKDAY(DATE($C$3,5,1),3)+4))=5,DAY((DATE($C$3,5,1)-WEEKDAY(DATE($C$3,5,1),3)+4)),"")</f>
        <v/>
      </c>
      <c r="O16" s="8" t="n">
        <f aca="false">IF(MONTH((DATE($C$3,5,1)-WEEKDAY(DATE($C$3,5,1),3)+5))=5,DAY((DATE($C$3,5,1)-WEEKDAY(DATE($C$3,5,1),3)+5)),"")</f>
        <v>1</v>
      </c>
      <c r="P16" s="9" t="n">
        <f aca="false">IF(MONTH((DATE($C$3,5,1)-WEEKDAY(DATE($C$3,5,1),3)+6))=5,DAY((DATE($C$3,5,1)-WEEKDAY(DATE($C$3,5,1),3)+6)),"")</f>
        <v>2</v>
      </c>
      <c r="R16" s="7" t="str">
        <f aca="false">IF(MONTH((DATE($C$3,6,1)-WEEKDAY(DATE($C$3,6,1),3)+0))=6,DAY((DATE($C$3,6,1)-WEEKDAY(DATE($C$3,6,1),3)+0)),"")</f>
        <v/>
      </c>
      <c r="S16" s="7" t="n">
        <f aca="false">IF(MONTH((DATE($C$3,6,1)-WEEKDAY(DATE($C$3,6,1),3)+1))=6,DAY((DATE($C$3,6,1)-WEEKDAY(DATE($C$3,6,1),3)+1)),"")</f>
        <v>1</v>
      </c>
      <c r="T16" s="7" t="n">
        <f aca="false">IF(MONTH((DATE($C$3,6,1)-WEEKDAY(DATE($C$3,6,1),3)+2))=6,DAY((DATE($C$3,6,1)-WEEKDAY(DATE($C$3,6,1),3)+2)),"")</f>
        <v>2</v>
      </c>
      <c r="U16" s="7" t="n">
        <f aca="false">IF(MONTH((DATE($C$3,6,1)-WEEKDAY(DATE($C$3,6,1),3)+3))=6,DAY((DATE($C$3,6,1)-WEEKDAY(DATE($C$3,6,1),3)+3)),"")</f>
        <v>3</v>
      </c>
      <c r="V16" s="7" t="n">
        <f aca="false">IF(MONTH((DATE($C$3,6,1)-WEEKDAY(DATE($C$3,6,1),3)+4))=6,DAY((DATE($C$3,6,1)-WEEKDAY(DATE($C$3,6,1),3)+4)),"")</f>
        <v>4</v>
      </c>
      <c r="W16" s="8" t="n">
        <f aca="false">IF(MONTH((DATE($C$3,6,1)-WEEKDAY(DATE($C$3,6,1),3)+5))=6,DAY((DATE($C$3,6,1)-WEEKDAY(DATE($C$3,6,1),3)+5)),"")</f>
        <v>5</v>
      </c>
      <c r="X16" s="9" t="n">
        <f aca="false">IF(MONTH((DATE($C$3,6,1)-WEEKDAY(DATE($C$3,6,1),3)+6))=6,DAY((DATE($C$3,6,1)-WEEKDAY(DATE($C$3,6,1),3)+6)),"")</f>
        <v>6</v>
      </c>
    </row>
    <row r="17" customFormat="false" ht="15.75" hidden="false" customHeight="true" outlineLevel="0" collapsed="false">
      <c r="B17" s="7" t="n">
        <f aca="false">IF(MONTH((DATE($C$3,4,1)-WEEKDAY(DATE($C$3,4,1),3)+7))=4,DAY((DATE($C$3,4,1)-WEEKDAY(DATE($C$3,4,1),3)+7)),"")</f>
        <v>5</v>
      </c>
      <c r="C17" s="7" t="n">
        <f aca="false">IF(MONTH((DATE($C$3,4,1)-WEEKDAY(DATE($C$3,4,1),3)+8))=4,DAY((DATE($C$3,4,1)-WEEKDAY(DATE($C$3,4,1),3)+8)),"")</f>
        <v>6</v>
      </c>
      <c r="D17" s="7" t="n">
        <f aca="false">IF(MONTH((DATE($C$3,4,1)-WEEKDAY(DATE($C$3,4,1),3)+9))=4,DAY((DATE($C$3,4,1)-WEEKDAY(DATE($C$3,4,1),3)+9)),"")</f>
        <v>7</v>
      </c>
      <c r="E17" s="7" t="n">
        <f aca="false">IF(MONTH((DATE($C$3,4,1)-WEEKDAY(DATE($C$3,4,1),3)+10))=4,DAY((DATE($C$3,4,1)-WEEKDAY(DATE($C$3,4,1),3)+10)),"")</f>
        <v>8</v>
      </c>
      <c r="F17" s="7" t="n">
        <f aca="false">IF(MONTH((DATE($C$3,4,1)-WEEKDAY(DATE($C$3,4,1),3)+11))=4,DAY((DATE($C$3,4,1)-WEEKDAY(DATE($C$3,4,1),3)+11)),"")</f>
        <v>9</v>
      </c>
      <c r="G17" s="8" t="n">
        <f aca="false">IF(MONTH((DATE($C$3,4,1)-WEEKDAY(DATE($C$3,4,1),3)+12))=4,DAY((DATE($C$3,4,1)-WEEKDAY(DATE($C$3,4,1),3)+12)),"")</f>
        <v>10</v>
      </c>
      <c r="H17" s="9" t="n">
        <f aca="false">IF(MONTH((DATE($C$3,4,1)-WEEKDAY(DATE($C$3,4,1),3)+13))=4,DAY((DATE($C$3,4,1)-WEEKDAY(DATE($C$3,4,1),3)+13)),"")</f>
        <v>11</v>
      </c>
      <c r="J17" s="7" t="n">
        <f aca="false">IF(MONTH((DATE($C$3,5,1)-WEEKDAY(DATE($C$3,5,1),3)+7))=5,DAY((DATE($C$3,5,1)-WEEKDAY(DATE($C$3,5,1),3)+7)),"")</f>
        <v>3</v>
      </c>
      <c r="K17" s="7" t="n">
        <f aca="false">IF(MONTH((DATE($C$3,5,1)-WEEKDAY(DATE($C$3,5,1),3)+8))=5,DAY((DATE($C$3,5,1)-WEEKDAY(DATE($C$3,5,1),3)+8)),"")</f>
        <v>4</v>
      </c>
      <c r="L17" s="7" t="n">
        <f aca="false">IF(MONTH((DATE($C$3,5,1)-WEEKDAY(DATE($C$3,5,1),3)+9))=5,DAY((DATE($C$3,5,1)-WEEKDAY(DATE($C$3,5,1),3)+9)),"")</f>
        <v>5</v>
      </c>
      <c r="M17" s="7" t="n">
        <f aca="false">IF(MONTH((DATE($C$3,5,1)-WEEKDAY(DATE($C$3,5,1),3)+10))=5,DAY((DATE($C$3,5,1)-WEEKDAY(DATE($C$3,5,1),3)+10)),"")</f>
        <v>6</v>
      </c>
      <c r="N17" s="7" t="n">
        <f aca="false">IF(MONTH((DATE($C$3,5,1)-WEEKDAY(DATE($C$3,5,1),3)+11))=5,DAY((DATE($C$3,5,1)-WEEKDAY(DATE($C$3,5,1),3)+11)),"")</f>
        <v>7</v>
      </c>
      <c r="O17" s="8" t="n">
        <f aca="false">IF(MONTH((DATE($C$3,5,1)-WEEKDAY(DATE($C$3,5,1),3)+12))=5,DAY((DATE($C$3,5,1)-WEEKDAY(DATE($C$3,5,1),3)+12)),"")</f>
        <v>8</v>
      </c>
      <c r="P17" s="9" t="n">
        <f aca="false">IF(MONTH((DATE($C$3,5,1)-WEEKDAY(DATE($C$3,5,1),3)+13))=5,DAY((DATE($C$3,5,1)-WEEKDAY(DATE($C$3,5,1),3)+13)),"")</f>
        <v>9</v>
      </c>
      <c r="R17" s="7" t="n">
        <f aca="false">IF(MONTH((DATE($C$3,6,1)-WEEKDAY(DATE($C$3,6,1),3)+7))=6,DAY((DATE($C$3,6,1)-WEEKDAY(DATE($C$3,6,1),3)+7)),"")</f>
        <v>7</v>
      </c>
      <c r="S17" s="7" t="n">
        <f aca="false">IF(MONTH((DATE($C$3,6,1)-WEEKDAY(DATE($C$3,6,1),3)+8))=6,DAY((DATE($C$3,6,1)-WEEKDAY(DATE($C$3,6,1),3)+8)),"")</f>
        <v>8</v>
      </c>
      <c r="T17" s="7" t="n">
        <f aca="false">IF(MONTH((DATE($C$3,6,1)-WEEKDAY(DATE($C$3,6,1),3)+9))=6,DAY((DATE($C$3,6,1)-WEEKDAY(DATE($C$3,6,1),3)+9)),"")</f>
        <v>9</v>
      </c>
      <c r="U17" s="7" t="n">
        <f aca="false">IF(MONTH((DATE($C$3,6,1)-WEEKDAY(DATE($C$3,6,1),3)+10))=6,DAY((DATE($C$3,6,1)-WEEKDAY(DATE($C$3,6,1),3)+10)),"")</f>
        <v>10</v>
      </c>
      <c r="V17" s="7" t="n">
        <f aca="false">IF(MONTH((DATE($C$3,6,1)-WEEKDAY(DATE($C$3,6,1),3)+11))=6,DAY((DATE($C$3,6,1)-WEEKDAY(DATE($C$3,6,1),3)+11)),"")</f>
        <v>11</v>
      </c>
      <c r="W17" s="8" t="n">
        <f aca="false">IF(MONTH((DATE($C$3,6,1)-WEEKDAY(DATE($C$3,6,1),3)+12))=6,DAY((DATE($C$3,6,1)-WEEKDAY(DATE($C$3,6,1),3)+12)),"")</f>
        <v>12</v>
      </c>
      <c r="X17" s="9" t="n">
        <f aca="false">IF(MONTH((DATE($C$3,6,1)-WEEKDAY(DATE($C$3,6,1),3)+13))=6,DAY((DATE($C$3,6,1)-WEEKDAY(DATE($C$3,6,1),3)+13)),"")</f>
        <v>13</v>
      </c>
    </row>
    <row r="18" customFormat="false" ht="15.75" hidden="false" customHeight="true" outlineLevel="0" collapsed="false">
      <c r="B18" s="7" t="n">
        <f aca="false">IF(MONTH((DATE($C$3,4,1)-WEEKDAY(DATE($C$3,4,1),3)+14))=4,DAY((DATE($C$3,4,1)-WEEKDAY(DATE($C$3,4,1),3)+14)),"")</f>
        <v>12</v>
      </c>
      <c r="C18" s="7" t="n">
        <f aca="false">IF(MONTH((DATE($C$3,4,1)-WEEKDAY(DATE($C$3,4,1),3)+15))=4,DAY((DATE($C$3,4,1)-WEEKDAY(DATE($C$3,4,1),3)+15)),"")</f>
        <v>13</v>
      </c>
      <c r="D18" s="7" t="n">
        <f aca="false">IF(MONTH((DATE($C$3,4,1)-WEEKDAY(DATE($C$3,4,1),3)+16))=4,DAY((DATE($C$3,4,1)-WEEKDAY(DATE($C$3,4,1),3)+16)),"")</f>
        <v>14</v>
      </c>
      <c r="E18" s="7" t="n">
        <f aca="false">IF(MONTH((DATE($C$3,4,1)-WEEKDAY(DATE($C$3,4,1),3)+17))=4,DAY((DATE($C$3,4,1)-WEEKDAY(DATE($C$3,4,1),3)+17)),"")</f>
        <v>15</v>
      </c>
      <c r="F18" s="7" t="n">
        <f aca="false">IF(MONTH((DATE($C$3,4,1)-WEEKDAY(DATE($C$3,4,1),3)+18))=4,DAY((DATE($C$3,4,1)-WEEKDAY(DATE($C$3,4,1),3)+18)),"")</f>
        <v>16</v>
      </c>
      <c r="G18" s="8" t="n">
        <f aca="false">IF(MONTH((DATE($C$3,4,1)-WEEKDAY(DATE($C$3,4,1),3)+19))=4,DAY((DATE($C$3,4,1)-WEEKDAY(DATE($C$3,4,1),3)+19)),"")</f>
        <v>17</v>
      </c>
      <c r="H18" s="9" t="n">
        <f aca="false">IF(MONTH((DATE($C$3,4,1)-WEEKDAY(DATE($C$3,4,1),3)+20))=4,DAY((DATE($C$3,4,1)-WEEKDAY(DATE($C$3,4,1),3)+20)),"")</f>
        <v>18</v>
      </c>
      <c r="J18" s="7" t="n">
        <f aca="false">IF(MONTH((DATE($C$3,5,1)-WEEKDAY(DATE($C$3,5,1),3)+14))=5,DAY((DATE($C$3,5,1)-WEEKDAY(DATE($C$3,5,1),3)+14)),"")</f>
        <v>10</v>
      </c>
      <c r="K18" s="7" t="n">
        <f aca="false">IF(MONTH((DATE($C$3,5,1)-WEEKDAY(DATE($C$3,5,1),3)+15))=5,DAY((DATE($C$3,5,1)-WEEKDAY(DATE($C$3,5,1),3)+15)),"")</f>
        <v>11</v>
      </c>
      <c r="L18" s="7" t="n">
        <f aca="false">IF(MONTH((DATE($C$3,5,1)-WEEKDAY(DATE($C$3,5,1),3)+16))=5,DAY((DATE($C$3,5,1)-WEEKDAY(DATE($C$3,5,1),3)+16)),"")</f>
        <v>12</v>
      </c>
      <c r="M18" s="7" t="n">
        <f aca="false">IF(MONTH((DATE($C$3,5,1)-WEEKDAY(DATE($C$3,5,1),3)+17))=5,DAY((DATE($C$3,5,1)-WEEKDAY(DATE($C$3,5,1),3)+17)),"")</f>
        <v>13</v>
      </c>
      <c r="N18" s="7" t="n">
        <f aca="false">IF(MONTH((DATE($C$3,5,1)-WEEKDAY(DATE($C$3,5,1),3)+18))=5,DAY((DATE($C$3,5,1)-WEEKDAY(DATE($C$3,5,1),3)+18)),"")</f>
        <v>14</v>
      </c>
      <c r="O18" s="8" t="n">
        <f aca="false">IF(MONTH((DATE($C$3,5,1)-WEEKDAY(DATE($C$3,5,1),3)+19))=5,DAY((DATE($C$3,5,1)-WEEKDAY(DATE($C$3,5,1),3)+19)),"")</f>
        <v>15</v>
      </c>
      <c r="P18" s="9" t="n">
        <f aca="false">IF(MONTH((DATE($C$3,5,1)-WEEKDAY(DATE($C$3,5,1),3)+20))=5,DAY((DATE($C$3,5,1)-WEEKDAY(DATE($C$3,5,1),3)+20)),"")</f>
        <v>16</v>
      </c>
      <c r="R18" s="7" t="n">
        <f aca="false">IF(MONTH((DATE($C$3,6,1)-WEEKDAY(DATE($C$3,6,1),3)+14))=6,DAY((DATE($C$3,6,1)-WEEKDAY(DATE($C$3,6,1),3)+14)),"")</f>
        <v>14</v>
      </c>
      <c r="S18" s="7" t="n">
        <f aca="false">IF(MONTH((DATE($C$3,6,1)-WEEKDAY(DATE($C$3,6,1),3)+15))=6,DAY((DATE($C$3,6,1)-WEEKDAY(DATE($C$3,6,1),3)+15)),"")</f>
        <v>15</v>
      </c>
      <c r="T18" s="7" t="n">
        <f aca="false">IF(MONTH((DATE($C$3,6,1)-WEEKDAY(DATE($C$3,6,1),3)+16))=6,DAY((DATE($C$3,6,1)-WEEKDAY(DATE($C$3,6,1),3)+16)),"")</f>
        <v>16</v>
      </c>
      <c r="U18" s="7" t="n">
        <f aca="false">IF(MONTH((DATE($C$3,6,1)-WEEKDAY(DATE($C$3,6,1),3)+17))=6,DAY((DATE($C$3,6,1)-WEEKDAY(DATE($C$3,6,1),3)+17)),"")</f>
        <v>17</v>
      </c>
      <c r="V18" s="7" t="n">
        <f aca="false">IF(MONTH((DATE($C$3,6,1)-WEEKDAY(DATE($C$3,6,1),3)+18))=6,DAY((DATE($C$3,6,1)-WEEKDAY(DATE($C$3,6,1),3)+18)),"")</f>
        <v>18</v>
      </c>
      <c r="W18" s="8" t="n">
        <f aca="false">IF(MONTH((DATE($C$3,6,1)-WEEKDAY(DATE($C$3,6,1),3)+19))=6,DAY((DATE($C$3,6,1)-WEEKDAY(DATE($C$3,6,1),3)+19)),"")</f>
        <v>19</v>
      </c>
      <c r="X18" s="9" t="n">
        <f aca="false">IF(MONTH((DATE($C$3,6,1)-WEEKDAY(DATE($C$3,6,1),3)+20))=6,DAY((DATE($C$3,6,1)-WEEKDAY(DATE($C$3,6,1),3)+20)),"")</f>
        <v>20</v>
      </c>
    </row>
    <row r="19" customFormat="false" ht="15.75" hidden="false" customHeight="true" outlineLevel="0" collapsed="false">
      <c r="B19" s="7" t="n">
        <f aca="false">IF(MONTH((DATE($C$3,4,1)-WEEKDAY(DATE($C$3,4,1),3)+21))=4,DAY((DATE($C$3,4,1)-WEEKDAY(DATE($C$3,4,1),3)+21)),"")</f>
        <v>19</v>
      </c>
      <c r="C19" s="7" t="n">
        <f aca="false">IF(MONTH((DATE($C$3,4,1)-WEEKDAY(DATE($C$3,4,1),3)+22))=4,DAY((DATE($C$3,4,1)-WEEKDAY(DATE($C$3,4,1),3)+22)),"")</f>
        <v>20</v>
      </c>
      <c r="D19" s="7" t="n">
        <f aca="false">IF(MONTH((DATE($C$3,4,1)-WEEKDAY(DATE($C$3,4,1),3)+23))=4,DAY((DATE($C$3,4,1)-WEEKDAY(DATE($C$3,4,1),3)+23)),"")</f>
        <v>21</v>
      </c>
      <c r="E19" s="7" t="n">
        <f aca="false">IF(MONTH((DATE($C$3,4,1)-WEEKDAY(DATE($C$3,4,1),3)+24))=4,DAY((DATE($C$3,4,1)-WEEKDAY(DATE($C$3,4,1),3)+24)),"")</f>
        <v>22</v>
      </c>
      <c r="F19" s="7" t="n">
        <f aca="false">IF(MONTH((DATE($C$3,4,1)-WEEKDAY(DATE($C$3,4,1),3)+25))=4,DAY((DATE($C$3,4,1)-WEEKDAY(DATE($C$3,4,1),3)+25)),"")</f>
        <v>23</v>
      </c>
      <c r="G19" s="8" t="n">
        <f aca="false">IF(MONTH((DATE($C$3,4,1)-WEEKDAY(DATE($C$3,4,1),3)+26))=4,DAY((DATE($C$3,4,1)-WEEKDAY(DATE($C$3,4,1),3)+26)),"")</f>
        <v>24</v>
      </c>
      <c r="H19" s="9" t="n">
        <f aca="false">IF(MONTH((DATE($C$3,4,1)-WEEKDAY(DATE($C$3,4,1),3)+27))=4,DAY((DATE($C$3,4,1)-WEEKDAY(DATE($C$3,4,1),3)+27)),"")</f>
        <v>25</v>
      </c>
      <c r="J19" s="7" t="n">
        <f aca="false">IF(MONTH((DATE($C$3,5,1)-WEEKDAY(DATE($C$3,5,1),3)+21))=5,DAY((DATE($C$3,5,1)-WEEKDAY(DATE($C$3,5,1),3)+21)),"")</f>
        <v>17</v>
      </c>
      <c r="K19" s="7" t="n">
        <f aca="false">IF(MONTH((DATE($C$3,5,1)-WEEKDAY(DATE($C$3,5,1),3)+22))=5,DAY((DATE($C$3,5,1)-WEEKDAY(DATE($C$3,5,1),3)+22)),"")</f>
        <v>18</v>
      </c>
      <c r="L19" s="7" t="n">
        <f aca="false">IF(MONTH((DATE($C$3,5,1)-WEEKDAY(DATE($C$3,5,1),3)+23))=5,DAY((DATE($C$3,5,1)-WEEKDAY(DATE($C$3,5,1),3)+23)),"")</f>
        <v>19</v>
      </c>
      <c r="M19" s="7" t="n">
        <f aca="false">IF(MONTH((DATE($C$3,5,1)-WEEKDAY(DATE($C$3,5,1),3)+24))=5,DAY((DATE($C$3,5,1)-WEEKDAY(DATE($C$3,5,1),3)+24)),"")</f>
        <v>20</v>
      </c>
      <c r="N19" s="7" t="n">
        <f aca="false">IF(MONTH((DATE($C$3,5,1)-WEEKDAY(DATE($C$3,5,1),3)+25))=5,DAY((DATE($C$3,5,1)-WEEKDAY(DATE($C$3,5,1),3)+25)),"")</f>
        <v>21</v>
      </c>
      <c r="O19" s="8" t="n">
        <f aca="false">IF(MONTH((DATE($C$3,5,1)-WEEKDAY(DATE($C$3,5,1),3)+26))=5,DAY((DATE($C$3,5,1)-WEEKDAY(DATE($C$3,5,1),3)+26)),"")</f>
        <v>22</v>
      </c>
      <c r="P19" s="9" t="n">
        <f aca="false">IF(MONTH((DATE($C$3,5,1)-WEEKDAY(DATE($C$3,5,1),3)+27))=5,DAY((DATE($C$3,5,1)-WEEKDAY(DATE($C$3,5,1),3)+27)),"")</f>
        <v>23</v>
      </c>
      <c r="R19" s="7" t="n">
        <f aca="false">IF(MONTH((DATE($C$3,6,1)-WEEKDAY(DATE($C$3,6,1),3)+21))=6,DAY((DATE($C$3,6,1)-WEEKDAY(DATE($C$3,6,1),3)+21)),"")</f>
        <v>21</v>
      </c>
      <c r="S19" s="7" t="n">
        <f aca="false">IF(MONTH((DATE($C$3,6,1)-WEEKDAY(DATE($C$3,6,1),3)+22))=6,DAY((DATE($C$3,6,1)-WEEKDAY(DATE($C$3,6,1),3)+22)),"")</f>
        <v>22</v>
      </c>
      <c r="T19" s="7" t="n">
        <f aca="false">IF(MONTH((DATE($C$3,6,1)-WEEKDAY(DATE($C$3,6,1),3)+23))=6,DAY((DATE($C$3,6,1)-WEEKDAY(DATE($C$3,6,1),3)+23)),"")</f>
        <v>23</v>
      </c>
      <c r="U19" s="7" t="n">
        <f aca="false">IF(MONTH((DATE($C$3,6,1)-WEEKDAY(DATE($C$3,6,1),3)+24))=6,DAY((DATE($C$3,6,1)-WEEKDAY(DATE($C$3,6,1),3)+24)),"")</f>
        <v>24</v>
      </c>
      <c r="V19" s="7" t="n">
        <f aca="false">IF(MONTH((DATE($C$3,6,1)-WEEKDAY(DATE($C$3,6,1),3)+25))=6,DAY((DATE($C$3,6,1)-WEEKDAY(DATE($C$3,6,1),3)+25)),"")</f>
        <v>25</v>
      </c>
      <c r="W19" s="8" t="n">
        <f aca="false">IF(MONTH((DATE($C$3,6,1)-WEEKDAY(DATE($C$3,6,1),3)+26))=6,DAY((DATE($C$3,6,1)-WEEKDAY(DATE($C$3,6,1),3)+26)),"")</f>
        <v>26</v>
      </c>
      <c r="X19" s="9" t="n">
        <f aca="false">IF(MONTH((DATE($C$3,6,1)-WEEKDAY(DATE($C$3,6,1),3)+27))=6,DAY((DATE($C$3,6,1)-WEEKDAY(DATE($C$3,6,1),3)+27)),"")</f>
        <v>27</v>
      </c>
    </row>
    <row r="20" customFormat="false" ht="15.75" hidden="false" customHeight="true" outlineLevel="0" collapsed="false">
      <c r="B20" s="7" t="n">
        <f aca="false">IF(MONTH((DATE($C$3,4,1)-WEEKDAY(DATE($C$3,4,1),3)+28))=4,DAY((DATE($C$3,4,1)-WEEKDAY(DATE($C$3,4,1),3)+28)),"")</f>
        <v>26</v>
      </c>
      <c r="C20" s="7" t="n">
        <f aca="false">IF(MONTH((DATE($C$3,4,1)-WEEKDAY(DATE($C$3,4,1),3)+29))=4,DAY((DATE($C$3,4,1)-WEEKDAY(DATE($C$3,4,1),3)+29)),"")</f>
        <v>27</v>
      </c>
      <c r="D20" s="7" t="n">
        <f aca="false">IF(MONTH((DATE($C$3,4,1)-WEEKDAY(DATE($C$3,4,1),3)+30))=4,DAY((DATE($C$3,4,1)-WEEKDAY(DATE($C$3,4,1),3)+30)),"")</f>
        <v>28</v>
      </c>
      <c r="E20" s="7" t="n">
        <f aca="false">IF(MONTH((DATE($C$3,4,1)-WEEKDAY(DATE($C$3,4,1),3)+31))=4,DAY((DATE($C$3,4,1)-WEEKDAY(DATE($C$3,4,1),3)+31)),"")</f>
        <v>29</v>
      </c>
      <c r="F20" s="7" t="n">
        <f aca="false">IF(MONTH((DATE($C$3,4,1)-WEEKDAY(DATE($C$3,4,1),3)+32))=4,DAY((DATE($C$3,4,1)-WEEKDAY(DATE($C$3,4,1),3)+32)),"")</f>
        <v>30</v>
      </c>
      <c r="G20" s="8" t="str">
        <f aca="false">IF(MONTH((DATE($C$3,4,1)-WEEKDAY(DATE($C$3,4,1),3)+33))=4,DAY((DATE($C$3,4,1)-WEEKDAY(DATE($C$3,4,1),3)+33)),"")</f>
        <v/>
      </c>
      <c r="H20" s="9" t="str">
        <f aca="false">IF(MONTH((DATE($C$3,4,1)-WEEKDAY(DATE($C$3,4,1),3)+34))=4,DAY((DATE($C$3,4,1)-WEEKDAY(DATE($C$3,4,1),3)+34)),"")</f>
        <v/>
      </c>
      <c r="J20" s="7" t="n">
        <f aca="false">IF(MONTH((DATE($C$3,5,1)-WEEKDAY(DATE($C$3,5,1),3)+28))=5,DAY((DATE($C$3,5,1)-WEEKDAY(DATE($C$3,5,1),3)+28)),"")</f>
        <v>24</v>
      </c>
      <c r="K20" s="7" t="n">
        <f aca="false">IF(MONTH((DATE($C$3,5,1)-WEEKDAY(DATE($C$3,5,1),3)+29))=5,DAY((DATE($C$3,5,1)-WEEKDAY(DATE($C$3,5,1),3)+29)),"")</f>
        <v>25</v>
      </c>
      <c r="L20" s="7" t="n">
        <f aca="false">IF(MONTH((DATE($C$3,5,1)-WEEKDAY(DATE($C$3,5,1),3)+30))=5,DAY((DATE($C$3,5,1)-WEEKDAY(DATE($C$3,5,1),3)+30)),"")</f>
        <v>26</v>
      </c>
      <c r="M20" s="7" t="n">
        <f aca="false">IF(MONTH((DATE($C$3,5,1)-WEEKDAY(DATE($C$3,5,1),3)+31))=5,DAY((DATE($C$3,5,1)-WEEKDAY(DATE($C$3,5,1),3)+31)),"")</f>
        <v>27</v>
      </c>
      <c r="N20" s="7" t="n">
        <f aca="false">IF(MONTH((DATE($C$3,5,1)-WEEKDAY(DATE($C$3,5,1),3)+32))=5,DAY((DATE($C$3,5,1)-WEEKDAY(DATE($C$3,5,1),3)+32)),"")</f>
        <v>28</v>
      </c>
      <c r="O20" s="8" t="n">
        <f aca="false">IF(MONTH((DATE($C$3,5,1)-WEEKDAY(DATE($C$3,5,1),3)+33))=5,DAY((DATE($C$3,5,1)-WEEKDAY(DATE($C$3,5,1),3)+33)),"")</f>
        <v>29</v>
      </c>
      <c r="P20" s="9" t="n">
        <f aca="false">IF(MONTH((DATE($C$3,5,1)-WEEKDAY(DATE($C$3,5,1),3)+34))=5,DAY((DATE($C$3,5,1)-WEEKDAY(DATE($C$3,5,1),3)+34)),"")</f>
        <v>30</v>
      </c>
      <c r="R20" s="7" t="n">
        <f aca="false">IF(MONTH((DATE($C$3,6,1)-WEEKDAY(DATE($C$3,6,1),3)+28))=6,DAY((DATE($C$3,6,1)-WEEKDAY(DATE($C$3,6,1),3)+28)),"")</f>
        <v>28</v>
      </c>
      <c r="S20" s="7" t="n">
        <f aca="false">IF(MONTH((DATE($C$3,6,1)-WEEKDAY(DATE($C$3,6,1),3)+29))=6,DAY((DATE($C$3,6,1)-WEEKDAY(DATE($C$3,6,1),3)+29)),"")</f>
        <v>29</v>
      </c>
      <c r="T20" s="7" t="n">
        <f aca="false">IF(MONTH((DATE($C$3,6,1)-WEEKDAY(DATE($C$3,6,1),3)+30))=6,DAY((DATE($C$3,6,1)-WEEKDAY(DATE($C$3,6,1),3)+30)),"")</f>
        <v>30</v>
      </c>
      <c r="U20" s="7" t="str">
        <f aca="false">IF(MONTH((DATE($C$3,6,1)-WEEKDAY(DATE($C$3,6,1),3)+31))=6,DAY((DATE($C$3,6,1)-WEEKDAY(DATE($C$3,6,1),3)+31)),"")</f>
        <v/>
      </c>
      <c r="V20" s="7" t="str">
        <f aca="false">IF(MONTH((DATE($C$3,6,1)-WEEKDAY(DATE($C$3,6,1),3)+32))=6,DAY((DATE($C$3,6,1)-WEEKDAY(DATE($C$3,6,1),3)+32)),"")</f>
        <v/>
      </c>
      <c r="W20" s="8" t="str">
        <f aca="false">IF(MONTH((DATE($C$3,6,1)-WEEKDAY(DATE($C$3,6,1),3)+33))=6,DAY((DATE($C$3,6,1)-WEEKDAY(DATE($C$3,6,1),3)+33)),"")</f>
        <v/>
      </c>
      <c r="X20" s="9" t="str">
        <f aca="false">IF(MONTH((DATE($C$3,6,1)-WEEKDAY(DATE($C$3,6,1),3)+34))=6,DAY((DATE($C$3,6,1)-WEEKDAY(DATE($C$3,6,1),3)+34)),"")</f>
        <v/>
      </c>
    </row>
    <row r="21" customFormat="false" ht="15.75" hidden="false" customHeight="true" outlineLevel="0" collapsed="false">
      <c r="B21" s="7" t="str">
        <f aca="false">IF(MONTH((DATE($C$3,4,1)-WEEKDAY(DATE($C$3,4,1),3)+35))=4,DAY((DATE($C$3,4,1)-WEEKDAY(DATE($C$3,4,1),3)+35)),"")</f>
        <v/>
      </c>
      <c r="C21" s="7" t="str">
        <f aca="false">IF(MONTH((DATE($C$3,4,1)-WEEKDAY(DATE($C$3,4,1),3)+36))=4,DAY((DATE($C$3,4,1)-WEEKDAY(DATE($C$3,4,1),3)+36)),"")</f>
        <v/>
      </c>
      <c r="D21" s="7" t="str">
        <f aca="false">IF(MONTH((DATE($C$3,4,1)-WEEKDAY(DATE($C$3,4,1),3)+37))=4,DAY((DATE($C$3,4,1)-WEEKDAY(DATE($C$3,4,1),3)+37)),"")</f>
        <v/>
      </c>
      <c r="E21" s="7" t="str">
        <f aca="false">IF(MONTH((DATE($C$3,4,1)-WEEKDAY(DATE($C$3,4,1),3)+38))=4,DAY((DATE($C$3,4,1)-WEEKDAY(DATE($C$3,4,1),3)+38)),"")</f>
        <v/>
      </c>
      <c r="F21" s="7" t="str">
        <f aca="false">IF(MONTH((DATE($C$3,4,1)-WEEKDAY(DATE($C$3,4,1),3)+39))=4,DAY((DATE($C$3,4,1)-WEEKDAY(DATE($C$3,4,1),3)+39)),"")</f>
        <v/>
      </c>
      <c r="G21" s="8" t="str">
        <f aca="false">IF(MONTH((DATE($C$3,4,1)-WEEKDAY(DATE($C$3,4,1),3)+40))=4,DAY((DATE($C$3,4,1)-WEEKDAY(DATE($C$3,4,1),3)+40)),"")</f>
        <v/>
      </c>
      <c r="H21" s="9" t="str">
        <f aca="false">IF(MONTH((DATE($C$3,4,1)-WEEKDAY(DATE($C$3,4,1),3)+41))=4,DAY((DATE($C$3,4,1)-WEEKDAY(DATE($C$3,4,1),3)+41)),"")</f>
        <v/>
      </c>
      <c r="J21" s="7" t="n">
        <f aca="false">IF(MONTH((DATE($C$3,5,1)-WEEKDAY(DATE($C$3,5,1),3)+35))=5,DAY((DATE($C$3,5,1)-WEEKDAY(DATE($C$3,5,1),3)+35)),"")</f>
        <v>31</v>
      </c>
      <c r="K21" s="7" t="str">
        <f aca="false">IF(MONTH((DATE($C$3,5,1)-WEEKDAY(DATE($C$3,5,1),3)+36))=5,DAY((DATE($C$3,5,1)-WEEKDAY(DATE($C$3,5,1),3)+36)),"")</f>
        <v/>
      </c>
      <c r="L21" s="7" t="str">
        <f aca="false">IF(MONTH((DATE($C$3,5,1)-WEEKDAY(DATE($C$3,5,1),3)+37))=5,DAY((DATE($C$3,5,1)-WEEKDAY(DATE($C$3,5,1),3)+37)),"")</f>
        <v/>
      </c>
      <c r="M21" s="7" t="str">
        <f aca="false">IF(MONTH((DATE($C$3,5,1)-WEEKDAY(DATE($C$3,5,1),3)+38))=5,DAY((DATE($C$3,5,1)-WEEKDAY(DATE($C$3,5,1),3)+38)),"")</f>
        <v/>
      </c>
      <c r="N21" s="7" t="str">
        <f aca="false">IF(MONTH((DATE($C$3,5,1)-WEEKDAY(DATE($C$3,5,1),3)+39))=5,DAY((DATE($C$3,5,1)-WEEKDAY(DATE($C$3,5,1),3)+39)),"")</f>
        <v/>
      </c>
      <c r="O21" s="8" t="str">
        <f aca="false">IF(MONTH((DATE($C$3,5,1)-WEEKDAY(DATE($C$3,5,1),3)+40))=5,DAY((DATE($C$3,5,1)-WEEKDAY(DATE($C$3,5,1),3)+40)),"")</f>
        <v/>
      </c>
      <c r="P21" s="9" t="str">
        <f aca="false">IF(MONTH((DATE($C$3,5,1)-WEEKDAY(DATE($C$3,5,1),3)+41))=5,DAY((DATE($C$3,5,1)-WEEKDAY(DATE($C$3,5,1),3)+41)),"")</f>
        <v/>
      </c>
      <c r="R21" s="7" t="str">
        <f aca="false">IF(MONTH((DATE($C$3,6,1)-WEEKDAY(DATE($C$3,6,1),3)+35))=6,DAY((DATE($C$3,6,1)-WEEKDAY(DATE($C$3,6,1),3)+35)),"")</f>
        <v/>
      </c>
      <c r="S21" s="7" t="str">
        <f aca="false">IF(MONTH((DATE($C$3,6,1)-WEEKDAY(DATE($C$3,6,1),3)+36))=6,DAY((DATE($C$3,6,1)-WEEKDAY(DATE($C$3,6,1),3)+36)),"")</f>
        <v/>
      </c>
      <c r="T21" s="7" t="str">
        <f aca="false">IF(MONTH((DATE($C$3,6,1)-WEEKDAY(DATE($C$3,6,1),3)+37))=6,DAY((DATE($C$3,6,1)-WEEKDAY(DATE($C$3,6,1),3)+37)),"")</f>
        <v/>
      </c>
      <c r="U21" s="7" t="str">
        <f aca="false">IF(MONTH((DATE($C$3,6,1)-WEEKDAY(DATE($C$3,6,1),3)+38))=6,DAY((DATE($C$3,6,1)-WEEKDAY(DATE($C$3,6,1),3)+38)),"")</f>
        <v/>
      </c>
      <c r="V21" s="7" t="str">
        <f aca="false">IF(MONTH((DATE($C$3,6,1)-WEEKDAY(DATE($C$3,6,1),3)+39))=6,DAY((DATE($C$3,6,1)-WEEKDAY(DATE($C$3,6,1),3)+39)),"")</f>
        <v/>
      </c>
      <c r="W21" s="8" t="str">
        <f aca="false">IF(MONTH((DATE($C$3,6,1)-WEEKDAY(DATE($C$3,6,1),3)+40))=6,DAY((DATE($C$3,6,1)-WEEKDAY(DATE($C$3,6,1),3)+40)),"")</f>
        <v/>
      </c>
      <c r="X21" s="9" t="str">
        <f aca="false">IF(MONTH((DATE($C$3,6,1)-WEEKDAY(DATE($C$3,6,1),3)+41))=6,DAY((DATE($C$3,6,1)-WEEKDAY(DATE($C$3,6,1),3)+41)),"")</f>
        <v/>
      </c>
    </row>
    <row r="23" customFormat="false" ht="19.5" hidden="false" customHeight="true" outlineLevel="0" collapsed="false">
      <c r="B23" s="5" t="s">
        <v>15</v>
      </c>
      <c r="C23" s="5"/>
      <c r="D23" s="5"/>
      <c r="E23" s="5"/>
      <c r="F23" s="5"/>
      <c r="G23" s="5"/>
      <c r="H23" s="5"/>
      <c r="J23" s="5" t="s">
        <v>16</v>
      </c>
      <c r="K23" s="5"/>
      <c r="L23" s="5"/>
      <c r="M23" s="5"/>
      <c r="N23" s="5"/>
      <c r="O23" s="5"/>
      <c r="P23" s="5"/>
      <c r="R23" s="5" t="s">
        <v>17</v>
      </c>
      <c r="S23" s="5"/>
      <c r="T23" s="5"/>
      <c r="U23" s="5"/>
      <c r="V23" s="5"/>
      <c r="W23" s="5"/>
      <c r="X23" s="5"/>
    </row>
    <row r="24" customFormat="false" ht="15.75" hidden="false" customHeight="true" outlineLevel="0" collapsed="false">
      <c r="B24" s="6" t="s">
        <v>6</v>
      </c>
      <c r="C24" s="6" t="s">
        <v>7</v>
      </c>
      <c r="D24" s="6" t="s">
        <v>7</v>
      </c>
      <c r="E24" s="6" t="s">
        <v>8</v>
      </c>
      <c r="F24" s="6" t="s">
        <v>9</v>
      </c>
      <c r="G24" s="6" t="s">
        <v>10</v>
      </c>
      <c r="H24" s="6" t="s">
        <v>11</v>
      </c>
      <c r="J24" s="6" t="s">
        <v>6</v>
      </c>
      <c r="K24" s="6" t="s">
        <v>7</v>
      </c>
      <c r="L24" s="6" t="s">
        <v>7</v>
      </c>
      <c r="M24" s="6" t="s">
        <v>8</v>
      </c>
      <c r="N24" s="6" t="s">
        <v>9</v>
      </c>
      <c r="O24" s="6" t="s">
        <v>10</v>
      </c>
      <c r="P24" s="6" t="s">
        <v>11</v>
      </c>
      <c r="R24" s="6" t="s">
        <v>6</v>
      </c>
      <c r="S24" s="6" t="s">
        <v>7</v>
      </c>
      <c r="T24" s="6" t="s">
        <v>7</v>
      </c>
      <c r="U24" s="6" t="s">
        <v>8</v>
      </c>
      <c r="V24" s="6" t="s">
        <v>9</v>
      </c>
      <c r="W24" s="6" t="s">
        <v>10</v>
      </c>
      <c r="X24" s="6" t="s">
        <v>11</v>
      </c>
    </row>
    <row r="25" customFormat="false" ht="15.75" hidden="false" customHeight="true" outlineLevel="0" collapsed="false">
      <c r="B25" s="7" t="str">
        <f aca="false">IF(MONTH((DATE($C$3,7,1)-WEEKDAY(DATE($C$3,7,1),3)+0))=7,DAY((DATE($C$3,7,1)-WEEKDAY(DATE($C$3,7,1),3)+0)),"")</f>
        <v/>
      </c>
      <c r="C25" s="7" t="str">
        <f aca="false">IF(MONTH((DATE($C$3,7,1)-WEEKDAY(DATE($C$3,7,1),3)+1))=7,DAY((DATE($C$3,7,1)-WEEKDAY(DATE($C$3,7,1),3)+1)),"")</f>
        <v/>
      </c>
      <c r="D25" s="7" t="str">
        <f aca="false">IF(MONTH((DATE($C$3,7,1)-WEEKDAY(DATE($C$3,7,1),3)+2))=7,DAY((DATE($C$3,7,1)-WEEKDAY(DATE($C$3,7,1),3)+2)),"")</f>
        <v/>
      </c>
      <c r="E25" s="7" t="n">
        <f aca="false">IF(MONTH((DATE($C$3,7,1)-WEEKDAY(DATE($C$3,7,1),3)+3))=7,DAY((DATE($C$3,7,1)-WEEKDAY(DATE($C$3,7,1),3)+3)),"")</f>
        <v>1</v>
      </c>
      <c r="F25" s="7" t="n">
        <f aca="false">IF(MONTH((DATE($C$3,7,1)-WEEKDAY(DATE($C$3,7,1),3)+4))=7,DAY((DATE($C$3,7,1)-WEEKDAY(DATE($C$3,7,1),3)+4)),"")</f>
        <v>2</v>
      </c>
      <c r="G25" s="8" t="n">
        <f aca="false">IF(MONTH((DATE($C$3,7,1)-WEEKDAY(DATE($C$3,7,1),3)+5))=7,DAY((DATE($C$3,7,1)-WEEKDAY(DATE($C$3,7,1),3)+5)),"")</f>
        <v>3</v>
      </c>
      <c r="H25" s="9" t="n">
        <f aca="false">IF(MONTH((DATE($C$3,7,1)-WEEKDAY(DATE($C$3,7,1),3)+6))=7,DAY((DATE($C$3,7,1)-WEEKDAY(DATE($C$3,7,1),3)+6)),"")</f>
        <v>4</v>
      </c>
      <c r="J25" s="7" t="str">
        <f aca="false">IF(MONTH((DATE($C$3,8,1)-WEEKDAY(DATE($C$3,8,1),3)+0))=8,DAY((DATE($C$3,8,1)-WEEKDAY(DATE($C$3,8,1),3)+0)),"")</f>
        <v/>
      </c>
      <c r="K25" s="7" t="str">
        <f aca="false">IF(MONTH((DATE($C$3,8,1)-WEEKDAY(DATE($C$3,8,1),3)+1))=8,DAY((DATE($C$3,8,1)-WEEKDAY(DATE($C$3,8,1),3)+1)),"")</f>
        <v/>
      </c>
      <c r="L25" s="7" t="str">
        <f aca="false">IF(MONTH((DATE($C$3,8,1)-WEEKDAY(DATE($C$3,8,1),3)+2))=8,DAY((DATE($C$3,8,1)-WEEKDAY(DATE($C$3,8,1),3)+2)),"")</f>
        <v/>
      </c>
      <c r="M25" s="7" t="str">
        <f aca="false">IF(MONTH((DATE($C$3,8,1)-WEEKDAY(DATE($C$3,8,1),3)+3))=8,DAY((DATE($C$3,8,1)-WEEKDAY(DATE($C$3,8,1),3)+3)),"")</f>
        <v/>
      </c>
      <c r="N25" s="7" t="str">
        <f aca="false">IF(MONTH((DATE($C$3,8,1)-WEEKDAY(DATE($C$3,8,1),3)+4))=8,DAY((DATE($C$3,8,1)-WEEKDAY(DATE($C$3,8,1),3)+4)),"")</f>
        <v/>
      </c>
      <c r="O25" s="8" t="str">
        <f aca="false">IF(MONTH((DATE($C$3,8,1)-WEEKDAY(DATE($C$3,8,1),3)+5))=8,DAY((DATE($C$3,8,1)-WEEKDAY(DATE($C$3,8,1),3)+5)),"")</f>
        <v/>
      </c>
      <c r="P25" s="9" t="n">
        <f aca="false">IF(MONTH((DATE($C$3,8,1)-WEEKDAY(DATE($C$3,8,1),3)+6))=8,DAY((DATE($C$3,8,1)-WEEKDAY(DATE($C$3,8,1),3)+6)),"")</f>
        <v>1</v>
      </c>
      <c r="R25" s="7" t="str">
        <f aca="false">IF(MONTH((DATE($C$3,9,1)-WEEKDAY(DATE($C$3,9,1),3)+0))=9,DAY((DATE($C$3,9,1)-WEEKDAY(DATE($C$3,9,1),3)+0)),"")</f>
        <v/>
      </c>
      <c r="S25" s="7" t="str">
        <f aca="false">IF(MONTH((DATE($C$3,9,1)-WEEKDAY(DATE($C$3,9,1),3)+1))=9,DAY((DATE($C$3,9,1)-WEEKDAY(DATE($C$3,9,1),3)+1)),"")</f>
        <v/>
      </c>
      <c r="T25" s="7" t="n">
        <f aca="false">IF(MONTH((DATE($C$3,9,1)-WEEKDAY(DATE($C$3,9,1),3)+2))=9,DAY((DATE($C$3,9,1)-WEEKDAY(DATE($C$3,9,1),3)+2)),"")</f>
        <v>1</v>
      </c>
      <c r="U25" s="7" t="n">
        <f aca="false">IF(MONTH((DATE($C$3,9,1)-WEEKDAY(DATE($C$3,9,1),3)+3))=9,DAY((DATE($C$3,9,1)-WEEKDAY(DATE($C$3,9,1),3)+3)),"")</f>
        <v>2</v>
      </c>
      <c r="V25" s="7" t="n">
        <f aca="false">IF(MONTH((DATE($C$3,9,1)-WEEKDAY(DATE($C$3,9,1),3)+4))=9,DAY((DATE($C$3,9,1)-WEEKDAY(DATE($C$3,9,1),3)+4)),"")</f>
        <v>3</v>
      </c>
      <c r="W25" s="8" t="n">
        <f aca="false">IF(MONTH((DATE($C$3,9,1)-WEEKDAY(DATE($C$3,9,1),3)+5))=9,DAY((DATE($C$3,9,1)-WEEKDAY(DATE($C$3,9,1),3)+5)),"")</f>
        <v>4</v>
      </c>
      <c r="X25" s="9" t="n">
        <f aca="false">IF(MONTH((DATE($C$3,9,1)-WEEKDAY(DATE($C$3,9,1),3)+6))=9,DAY((DATE($C$3,9,1)-WEEKDAY(DATE($C$3,9,1),3)+6)),"")</f>
        <v>5</v>
      </c>
    </row>
    <row r="26" customFormat="false" ht="15.75" hidden="false" customHeight="true" outlineLevel="0" collapsed="false">
      <c r="B26" s="7" t="n">
        <f aca="false">IF(MONTH((DATE($C$3,7,1)-WEEKDAY(DATE($C$3,7,1),3)+7))=7,DAY((DATE($C$3,7,1)-WEEKDAY(DATE($C$3,7,1),3)+7)),"")</f>
        <v>5</v>
      </c>
      <c r="C26" s="7" t="n">
        <f aca="false">IF(MONTH((DATE($C$3,7,1)-WEEKDAY(DATE($C$3,7,1),3)+8))=7,DAY((DATE($C$3,7,1)-WEEKDAY(DATE($C$3,7,1),3)+8)),"")</f>
        <v>6</v>
      </c>
      <c r="D26" s="7" t="n">
        <f aca="false">IF(MONTH((DATE($C$3,7,1)-WEEKDAY(DATE($C$3,7,1),3)+9))=7,DAY((DATE($C$3,7,1)-WEEKDAY(DATE($C$3,7,1),3)+9)),"")</f>
        <v>7</v>
      </c>
      <c r="E26" s="7" t="n">
        <f aca="false">IF(MONTH((DATE($C$3,7,1)-WEEKDAY(DATE($C$3,7,1),3)+10))=7,DAY((DATE($C$3,7,1)-WEEKDAY(DATE($C$3,7,1),3)+10)),"")</f>
        <v>8</v>
      </c>
      <c r="F26" s="7" t="n">
        <f aca="false">IF(MONTH((DATE($C$3,7,1)-WEEKDAY(DATE($C$3,7,1),3)+11))=7,DAY((DATE($C$3,7,1)-WEEKDAY(DATE($C$3,7,1),3)+11)),"")</f>
        <v>9</v>
      </c>
      <c r="G26" s="8" t="n">
        <f aca="false">IF(MONTH((DATE($C$3,7,1)-WEEKDAY(DATE($C$3,7,1),3)+12))=7,DAY((DATE($C$3,7,1)-WEEKDAY(DATE($C$3,7,1),3)+12)),"")</f>
        <v>10</v>
      </c>
      <c r="H26" s="9" t="n">
        <f aca="false">IF(MONTH((DATE($C$3,7,1)-WEEKDAY(DATE($C$3,7,1),3)+13))=7,DAY((DATE($C$3,7,1)-WEEKDAY(DATE($C$3,7,1),3)+13)),"")</f>
        <v>11</v>
      </c>
      <c r="J26" s="7" t="n">
        <f aca="false">IF(MONTH((DATE($C$3,8,1)-WEEKDAY(DATE($C$3,8,1),3)+7))=8,DAY((DATE($C$3,8,1)-WEEKDAY(DATE($C$3,8,1),3)+7)),"")</f>
        <v>2</v>
      </c>
      <c r="K26" s="7" t="n">
        <f aca="false">IF(MONTH((DATE($C$3,8,1)-WEEKDAY(DATE($C$3,8,1),3)+8))=8,DAY((DATE($C$3,8,1)-WEEKDAY(DATE($C$3,8,1),3)+8)),"")</f>
        <v>3</v>
      </c>
      <c r="L26" s="7" t="n">
        <f aca="false">IF(MONTH((DATE($C$3,8,1)-WEEKDAY(DATE($C$3,8,1),3)+9))=8,DAY((DATE($C$3,8,1)-WEEKDAY(DATE($C$3,8,1),3)+9)),"")</f>
        <v>4</v>
      </c>
      <c r="M26" s="7" t="n">
        <f aca="false">IF(MONTH((DATE($C$3,8,1)-WEEKDAY(DATE($C$3,8,1),3)+10))=8,DAY((DATE($C$3,8,1)-WEEKDAY(DATE($C$3,8,1),3)+10)),"")</f>
        <v>5</v>
      </c>
      <c r="N26" s="7" t="n">
        <f aca="false">IF(MONTH((DATE($C$3,8,1)-WEEKDAY(DATE($C$3,8,1),3)+11))=8,DAY((DATE($C$3,8,1)-WEEKDAY(DATE($C$3,8,1),3)+11)),"")</f>
        <v>6</v>
      </c>
      <c r="O26" s="8" t="n">
        <f aca="false">IF(MONTH((DATE($C$3,8,1)-WEEKDAY(DATE($C$3,8,1),3)+12))=8,DAY((DATE($C$3,8,1)-WEEKDAY(DATE($C$3,8,1),3)+12)),"")</f>
        <v>7</v>
      </c>
      <c r="P26" s="9" t="n">
        <f aca="false">IF(MONTH((DATE($C$3,8,1)-WEEKDAY(DATE($C$3,8,1),3)+13))=8,DAY((DATE($C$3,8,1)-WEEKDAY(DATE($C$3,8,1),3)+13)),"")</f>
        <v>8</v>
      </c>
      <c r="R26" s="7" t="n">
        <f aca="false">IF(MONTH((DATE($C$3,9,1)-WEEKDAY(DATE($C$3,9,1),3)+7))=9,DAY((DATE($C$3,9,1)-WEEKDAY(DATE($C$3,9,1),3)+7)),"")</f>
        <v>6</v>
      </c>
      <c r="S26" s="7" t="n">
        <f aca="false">IF(MONTH((DATE($C$3,9,1)-WEEKDAY(DATE($C$3,9,1),3)+8))=9,DAY((DATE($C$3,9,1)-WEEKDAY(DATE($C$3,9,1),3)+8)),"")</f>
        <v>7</v>
      </c>
      <c r="T26" s="7" t="n">
        <f aca="false">IF(MONTH((DATE($C$3,9,1)-WEEKDAY(DATE($C$3,9,1),3)+9))=9,DAY((DATE($C$3,9,1)-WEEKDAY(DATE($C$3,9,1),3)+9)),"")</f>
        <v>8</v>
      </c>
      <c r="U26" s="7" t="n">
        <f aca="false">IF(MONTH((DATE($C$3,9,1)-WEEKDAY(DATE($C$3,9,1),3)+10))=9,DAY((DATE($C$3,9,1)-WEEKDAY(DATE($C$3,9,1),3)+10)),"")</f>
        <v>9</v>
      </c>
      <c r="V26" s="7" t="n">
        <f aca="false">IF(MONTH((DATE($C$3,9,1)-WEEKDAY(DATE($C$3,9,1),3)+11))=9,DAY((DATE($C$3,9,1)-WEEKDAY(DATE($C$3,9,1),3)+11)),"")</f>
        <v>10</v>
      </c>
      <c r="W26" s="8" t="n">
        <f aca="false">IF(MONTH((DATE($C$3,9,1)-WEEKDAY(DATE($C$3,9,1),3)+12))=9,DAY((DATE($C$3,9,1)-WEEKDAY(DATE($C$3,9,1),3)+12)),"")</f>
        <v>11</v>
      </c>
      <c r="X26" s="9" t="n">
        <f aca="false">IF(MONTH((DATE($C$3,9,1)-WEEKDAY(DATE($C$3,9,1),3)+13))=9,DAY((DATE($C$3,9,1)-WEEKDAY(DATE($C$3,9,1),3)+13)),"")</f>
        <v>12</v>
      </c>
    </row>
    <row r="27" customFormat="false" ht="15.75" hidden="false" customHeight="true" outlineLevel="0" collapsed="false">
      <c r="B27" s="7" t="n">
        <f aca="false">IF(MONTH((DATE($C$3,7,1)-WEEKDAY(DATE($C$3,7,1),3)+14))=7,DAY((DATE($C$3,7,1)-WEEKDAY(DATE($C$3,7,1),3)+14)),"")</f>
        <v>12</v>
      </c>
      <c r="C27" s="7" t="n">
        <f aca="false">IF(MONTH((DATE($C$3,7,1)-WEEKDAY(DATE($C$3,7,1),3)+15))=7,DAY((DATE($C$3,7,1)-WEEKDAY(DATE($C$3,7,1),3)+15)),"")</f>
        <v>13</v>
      </c>
      <c r="D27" s="7" t="n">
        <f aca="false">IF(MONTH((DATE($C$3,7,1)-WEEKDAY(DATE($C$3,7,1),3)+16))=7,DAY((DATE($C$3,7,1)-WEEKDAY(DATE($C$3,7,1),3)+16)),"")</f>
        <v>14</v>
      </c>
      <c r="E27" s="7" t="n">
        <f aca="false">IF(MONTH((DATE($C$3,7,1)-WEEKDAY(DATE($C$3,7,1),3)+17))=7,DAY((DATE($C$3,7,1)-WEEKDAY(DATE($C$3,7,1),3)+17)),"")</f>
        <v>15</v>
      </c>
      <c r="F27" s="7" t="n">
        <f aca="false">IF(MONTH((DATE($C$3,7,1)-WEEKDAY(DATE($C$3,7,1),3)+18))=7,DAY((DATE($C$3,7,1)-WEEKDAY(DATE($C$3,7,1),3)+18)),"")</f>
        <v>16</v>
      </c>
      <c r="G27" s="8" t="n">
        <f aca="false">IF(MONTH((DATE($C$3,7,1)-WEEKDAY(DATE($C$3,7,1),3)+19))=7,DAY((DATE($C$3,7,1)-WEEKDAY(DATE($C$3,7,1),3)+19)),"")</f>
        <v>17</v>
      </c>
      <c r="H27" s="9" t="n">
        <f aca="false">IF(MONTH((DATE($C$3,7,1)-WEEKDAY(DATE($C$3,7,1),3)+20))=7,DAY((DATE($C$3,7,1)-WEEKDAY(DATE($C$3,7,1),3)+20)),"")</f>
        <v>18</v>
      </c>
      <c r="J27" s="7" t="n">
        <f aca="false">IF(MONTH((DATE($C$3,8,1)-WEEKDAY(DATE($C$3,8,1),3)+14))=8,DAY((DATE($C$3,8,1)-WEEKDAY(DATE($C$3,8,1),3)+14)),"")</f>
        <v>9</v>
      </c>
      <c r="K27" s="7" t="n">
        <f aca="false">IF(MONTH((DATE($C$3,8,1)-WEEKDAY(DATE($C$3,8,1),3)+15))=8,DAY((DATE($C$3,8,1)-WEEKDAY(DATE($C$3,8,1),3)+15)),"")</f>
        <v>10</v>
      </c>
      <c r="L27" s="7" t="n">
        <f aca="false">IF(MONTH((DATE($C$3,8,1)-WEEKDAY(DATE($C$3,8,1),3)+16))=8,DAY((DATE($C$3,8,1)-WEEKDAY(DATE($C$3,8,1),3)+16)),"")</f>
        <v>11</v>
      </c>
      <c r="M27" s="7" t="n">
        <f aca="false">IF(MONTH((DATE($C$3,8,1)-WEEKDAY(DATE($C$3,8,1),3)+17))=8,DAY((DATE($C$3,8,1)-WEEKDAY(DATE($C$3,8,1),3)+17)),"")</f>
        <v>12</v>
      </c>
      <c r="N27" s="7" t="n">
        <f aca="false">IF(MONTH((DATE($C$3,8,1)-WEEKDAY(DATE($C$3,8,1),3)+18))=8,DAY((DATE($C$3,8,1)-WEEKDAY(DATE($C$3,8,1),3)+18)),"")</f>
        <v>13</v>
      </c>
      <c r="O27" s="8" t="n">
        <f aca="false">IF(MONTH((DATE($C$3,8,1)-WEEKDAY(DATE($C$3,8,1),3)+19))=8,DAY((DATE($C$3,8,1)-WEEKDAY(DATE($C$3,8,1),3)+19)),"")</f>
        <v>14</v>
      </c>
      <c r="P27" s="9" t="n">
        <f aca="false">IF(MONTH((DATE($C$3,8,1)-WEEKDAY(DATE($C$3,8,1),3)+20))=8,DAY((DATE($C$3,8,1)-WEEKDAY(DATE($C$3,8,1),3)+20)),"")</f>
        <v>15</v>
      </c>
      <c r="R27" s="7" t="n">
        <f aca="false">IF(MONTH((DATE($C$3,9,1)-WEEKDAY(DATE($C$3,9,1),3)+14))=9,DAY((DATE($C$3,9,1)-WEEKDAY(DATE($C$3,9,1),3)+14)),"")</f>
        <v>13</v>
      </c>
      <c r="S27" s="7" t="n">
        <f aca="false">IF(MONTH((DATE($C$3,9,1)-WEEKDAY(DATE($C$3,9,1),3)+15))=9,DAY((DATE($C$3,9,1)-WEEKDAY(DATE($C$3,9,1),3)+15)),"")</f>
        <v>14</v>
      </c>
      <c r="T27" s="7" t="n">
        <f aca="false">IF(MONTH((DATE($C$3,9,1)-WEEKDAY(DATE($C$3,9,1),3)+16))=9,DAY((DATE($C$3,9,1)-WEEKDAY(DATE($C$3,9,1),3)+16)),"")</f>
        <v>15</v>
      </c>
      <c r="U27" s="7" t="n">
        <f aca="false">IF(MONTH((DATE($C$3,9,1)-WEEKDAY(DATE($C$3,9,1),3)+17))=9,DAY((DATE($C$3,9,1)-WEEKDAY(DATE($C$3,9,1),3)+17)),"")</f>
        <v>16</v>
      </c>
      <c r="V27" s="7" t="n">
        <f aca="false">IF(MONTH((DATE($C$3,9,1)-WEEKDAY(DATE($C$3,9,1),3)+18))=9,DAY((DATE($C$3,9,1)-WEEKDAY(DATE($C$3,9,1),3)+18)),"")</f>
        <v>17</v>
      </c>
      <c r="W27" s="8" t="n">
        <f aca="false">IF(MONTH((DATE($C$3,9,1)-WEEKDAY(DATE($C$3,9,1),3)+19))=9,DAY((DATE($C$3,9,1)-WEEKDAY(DATE($C$3,9,1),3)+19)),"")</f>
        <v>18</v>
      </c>
      <c r="X27" s="9" t="n">
        <f aca="false">IF(MONTH((DATE($C$3,9,1)-WEEKDAY(DATE($C$3,9,1),3)+20))=9,DAY((DATE($C$3,9,1)-WEEKDAY(DATE($C$3,9,1),3)+20)),"")</f>
        <v>19</v>
      </c>
    </row>
    <row r="28" customFormat="false" ht="15.75" hidden="false" customHeight="true" outlineLevel="0" collapsed="false">
      <c r="B28" s="7" t="n">
        <f aca="false">IF(MONTH((DATE($C$3,7,1)-WEEKDAY(DATE($C$3,7,1),3)+21))=7,DAY((DATE($C$3,7,1)-WEEKDAY(DATE($C$3,7,1),3)+21)),"")</f>
        <v>19</v>
      </c>
      <c r="C28" s="7" t="n">
        <f aca="false">IF(MONTH((DATE($C$3,7,1)-WEEKDAY(DATE($C$3,7,1),3)+22))=7,DAY((DATE($C$3,7,1)-WEEKDAY(DATE($C$3,7,1),3)+22)),"")</f>
        <v>20</v>
      </c>
      <c r="D28" s="7" t="n">
        <f aca="false">IF(MONTH((DATE($C$3,7,1)-WEEKDAY(DATE($C$3,7,1),3)+23))=7,DAY((DATE($C$3,7,1)-WEEKDAY(DATE($C$3,7,1),3)+23)),"")</f>
        <v>21</v>
      </c>
      <c r="E28" s="7" t="n">
        <f aca="false">IF(MONTH((DATE($C$3,7,1)-WEEKDAY(DATE($C$3,7,1),3)+24))=7,DAY((DATE($C$3,7,1)-WEEKDAY(DATE($C$3,7,1),3)+24)),"")</f>
        <v>22</v>
      </c>
      <c r="F28" s="7" t="n">
        <f aca="false">IF(MONTH((DATE($C$3,7,1)-WEEKDAY(DATE($C$3,7,1),3)+25))=7,DAY((DATE($C$3,7,1)-WEEKDAY(DATE($C$3,7,1),3)+25)),"")</f>
        <v>23</v>
      </c>
      <c r="G28" s="8" t="n">
        <f aca="false">IF(MONTH((DATE($C$3,7,1)-WEEKDAY(DATE($C$3,7,1),3)+26))=7,DAY((DATE($C$3,7,1)-WEEKDAY(DATE($C$3,7,1),3)+26)),"")</f>
        <v>24</v>
      </c>
      <c r="H28" s="9" t="n">
        <f aca="false">IF(MONTH((DATE($C$3,7,1)-WEEKDAY(DATE($C$3,7,1),3)+27))=7,DAY((DATE($C$3,7,1)-WEEKDAY(DATE($C$3,7,1),3)+27)),"")</f>
        <v>25</v>
      </c>
      <c r="J28" s="7" t="n">
        <f aca="false">IF(MONTH((DATE($C$3,8,1)-WEEKDAY(DATE($C$3,8,1),3)+21))=8,DAY((DATE($C$3,8,1)-WEEKDAY(DATE($C$3,8,1),3)+21)),"")</f>
        <v>16</v>
      </c>
      <c r="K28" s="7" t="n">
        <f aca="false">IF(MONTH((DATE($C$3,8,1)-WEEKDAY(DATE($C$3,8,1),3)+22))=8,DAY((DATE($C$3,8,1)-WEEKDAY(DATE($C$3,8,1),3)+22)),"")</f>
        <v>17</v>
      </c>
      <c r="L28" s="7" t="n">
        <f aca="false">IF(MONTH((DATE($C$3,8,1)-WEEKDAY(DATE($C$3,8,1),3)+23))=8,DAY((DATE($C$3,8,1)-WEEKDAY(DATE($C$3,8,1),3)+23)),"")</f>
        <v>18</v>
      </c>
      <c r="M28" s="7" t="n">
        <f aca="false">IF(MONTH((DATE($C$3,8,1)-WEEKDAY(DATE($C$3,8,1),3)+24))=8,DAY((DATE($C$3,8,1)-WEEKDAY(DATE($C$3,8,1),3)+24)),"")</f>
        <v>19</v>
      </c>
      <c r="N28" s="7" t="n">
        <f aca="false">IF(MONTH((DATE($C$3,8,1)-WEEKDAY(DATE($C$3,8,1),3)+25))=8,DAY((DATE($C$3,8,1)-WEEKDAY(DATE($C$3,8,1),3)+25)),"")</f>
        <v>20</v>
      </c>
      <c r="O28" s="8" t="n">
        <f aca="false">IF(MONTH((DATE($C$3,8,1)-WEEKDAY(DATE($C$3,8,1),3)+26))=8,DAY((DATE($C$3,8,1)-WEEKDAY(DATE($C$3,8,1),3)+26)),"")</f>
        <v>21</v>
      </c>
      <c r="P28" s="9" t="n">
        <f aca="false">IF(MONTH((DATE($C$3,8,1)-WEEKDAY(DATE($C$3,8,1),3)+27))=8,DAY((DATE($C$3,8,1)-WEEKDAY(DATE($C$3,8,1),3)+27)),"")</f>
        <v>22</v>
      </c>
      <c r="R28" s="7" t="n">
        <f aca="false">IF(MONTH((DATE($C$3,9,1)-WEEKDAY(DATE($C$3,9,1),3)+21))=9,DAY((DATE($C$3,9,1)-WEEKDAY(DATE($C$3,9,1),3)+21)),"")</f>
        <v>20</v>
      </c>
      <c r="S28" s="7" t="n">
        <f aca="false">IF(MONTH((DATE($C$3,9,1)-WEEKDAY(DATE($C$3,9,1),3)+22))=9,DAY((DATE($C$3,9,1)-WEEKDAY(DATE($C$3,9,1),3)+22)),"")</f>
        <v>21</v>
      </c>
      <c r="T28" s="7" t="n">
        <f aca="false">IF(MONTH((DATE($C$3,9,1)-WEEKDAY(DATE($C$3,9,1),3)+23))=9,DAY((DATE($C$3,9,1)-WEEKDAY(DATE($C$3,9,1),3)+23)),"")</f>
        <v>22</v>
      </c>
      <c r="U28" s="7" t="n">
        <f aca="false">IF(MONTH((DATE($C$3,9,1)-WEEKDAY(DATE($C$3,9,1),3)+24))=9,DAY((DATE($C$3,9,1)-WEEKDAY(DATE($C$3,9,1),3)+24)),"")</f>
        <v>23</v>
      </c>
      <c r="V28" s="7" t="n">
        <f aca="false">IF(MONTH((DATE($C$3,9,1)-WEEKDAY(DATE($C$3,9,1),3)+25))=9,DAY((DATE($C$3,9,1)-WEEKDAY(DATE($C$3,9,1),3)+25)),"")</f>
        <v>24</v>
      </c>
      <c r="W28" s="8" t="n">
        <f aca="false">IF(MONTH((DATE($C$3,9,1)-WEEKDAY(DATE($C$3,9,1),3)+26))=9,DAY((DATE($C$3,9,1)-WEEKDAY(DATE($C$3,9,1),3)+26)),"")</f>
        <v>25</v>
      </c>
      <c r="X28" s="9" t="n">
        <f aca="false">IF(MONTH((DATE($C$3,9,1)-WEEKDAY(DATE($C$3,9,1),3)+27))=9,DAY((DATE($C$3,9,1)-WEEKDAY(DATE($C$3,9,1),3)+27)),"")</f>
        <v>26</v>
      </c>
    </row>
    <row r="29" customFormat="false" ht="15.75" hidden="false" customHeight="true" outlineLevel="0" collapsed="false">
      <c r="B29" s="7" t="n">
        <f aca="false">IF(MONTH((DATE($C$3,7,1)-WEEKDAY(DATE($C$3,7,1),3)+28))=7,DAY((DATE($C$3,7,1)-WEEKDAY(DATE($C$3,7,1),3)+28)),"")</f>
        <v>26</v>
      </c>
      <c r="C29" s="7" t="n">
        <f aca="false">IF(MONTH((DATE($C$3,7,1)-WEEKDAY(DATE($C$3,7,1),3)+29))=7,DAY((DATE($C$3,7,1)-WEEKDAY(DATE($C$3,7,1),3)+29)),"")</f>
        <v>27</v>
      </c>
      <c r="D29" s="7" t="n">
        <f aca="false">IF(MONTH((DATE($C$3,7,1)-WEEKDAY(DATE($C$3,7,1),3)+30))=7,DAY((DATE($C$3,7,1)-WEEKDAY(DATE($C$3,7,1),3)+30)),"")</f>
        <v>28</v>
      </c>
      <c r="E29" s="7" t="n">
        <f aca="false">IF(MONTH((DATE($C$3,7,1)-WEEKDAY(DATE($C$3,7,1),3)+31))=7,DAY((DATE($C$3,7,1)-WEEKDAY(DATE($C$3,7,1),3)+31)),"")</f>
        <v>29</v>
      </c>
      <c r="F29" s="7" t="n">
        <f aca="false">IF(MONTH((DATE($C$3,7,1)-WEEKDAY(DATE($C$3,7,1),3)+32))=7,DAY((DATE($C$3,7,1)-WEEKDAY(DATE($C$3,7,1),3)+32)),"")</f>
        <v>30</v>
      </c>
      <c r="G29" s="8" t="n">
        <f aca="false">IF(MONTH((DATE($C$3,7,1)-WEEKDAY(DATE($C$3,7,1),3)+33))=7,DAY((DATE($C$3,7,1)-WEEKDAY(DATE($C$3,7,1),3)+33)),"")</f>
        <v>31</v>
      </c>
      <c r="H29" s="9" t="str">
        <f aca="false">IF(MONTH((DATE($C$3,7,1)-WEEKDAY(DATE($C$3,7,1),3)+34))=7,DAY((DATE($C$3,7,1)-WEEKDAY(DATE($C$3,7,1),3)+34)),"")</f>
        <v/>
      </c>
      <c r="J29" s="7" t="n">
        <f aca="false">IF(MONTH((DATE($C$3,8,1)-WEEKDAY(DATE($C$3,8,1),3)+28))=8,DAY((DATE($C$3,8,1)-WEEKDAY(DATE($C$3,8,1),3)+28)),"")</f>
        <v>23</v>
      </c>
      <c r="K29" s="7" t="n">
        <f aca="false">IF(MONTH((DATE($C$3,8,1)-WEEKDAY(DATE($C$3,8,1),3)+29))=8,DAY((DATE($C$3,8,1)-WEEKDAY(DATE($C$3,8,1),3)+29)),"")</f>
        <v>24</v>
      </c>
      <c r="L29" s="7" t="n">
        <f aca="false">IF(MONTH((DATE($C$3,8,1)-WEEKDAY(DATE($C$3,8,1),3)+30))=8,DAY((DATE($C$3,8,1)-WEEKDAY(DATE($C$3,8,1),3)+30)),"")</f>
        <v>25</v>
      </c>
      <c r="M29" s="7" t="n">
        <f aca="false">IF(MONTH((DATE($C$3,8,1)-WEEKDAY(DATE($C$3,8,1),3)+31))=8,DAY((DATE($C$3,8,1)-WEEKDAY(DATE($C$3,8,1),3)+31)),"")</f>
        <v>26</v>
      </c>
      <c r="N29" s="7" t="n">
        <f aca="false">IF(MONTH((DATE($C$3,8,1)-WEEKDAY(DATE($C$3,8,1),3)+32))=8,DAY((DATE($C$3,8,1)-WEEKDAY(DATE($C$3,8,1),3)+32)),"")</f>
        <v>27</v>
      </c>
      <c r="O29" s="8" t="n">
        <f aca="false">IF(MONTH((DATE($C$3,8,1)-WEEKDAY(DATE($C$3,8,1),3)+33))=8,DAY((DATE($C$3,8,1)-WEEKDAY(DATE($C$3,8,1),3)+33)),"")</f>
        <v>28</v>
      </c>
      <c r="P29" s="9" t="n">
        <f aca="false">IF(MONTH((DATE($C$3,8,1)-WEEKDAY(DATE($C$3,8,1),3)+34))=8,DAY((DATE($C$3,8,1)-WEEKDAY(DATE($C$3,8,1),3)+34)),"")</f>
        <v>29</v>
      </c>
      <c r="R29" s="7" t="n">
        <f aca="false">IF(MONTH((DATE($C$3,9,1)-WEEKDAY(DATE($C$3,9,1),3)+28))=9,DAY((DATE($C$3,9,1)-WEEKDAY(DATE($C$3,9,1),3)+28)),"")</f>
        <v>27</v>
      </c>
      <c r="S29" s="7" t="n">
        <f aca="false">IF(MONTH((DATE($C$3,9,1)-WEEKDAY(DATE($C$3,9,1),3)+29))=9,DAY((DATE($C$3,9,1)-WEEKDAY(DATE($C$3,9,1),3)+29)),"")</f>
        <v>28</v>
      </c>
      <c r="T29" s="7" t="n">
        <f aca="false">IF(MONTH((DATE($C$3,9,1)-WEEKDAY(DATE($C$3,9,1),3)+30))=9,DAY((DATE($C$3,9,1)-WEEKDAY(DATE($C$3,9,1),3)+30)),"")</f>
        <v>29</v>
      </c>
      <c r="U29" s="7" t="n">
        <f aca="false">IF(MONTH((DATE($C$3,9,1)-WEEKDAY(DATE($C$3,9,1),3)+31))=9,DAY((DATE($C$3,9,1)-WEEKDAY(DATE($C$3,9,1),3)+31)),"")</f>
        <v>30</v>
      </c>
      <c r="V29" s="7" t="str">
        <f aca="false">IF(MONTH((DATE($C$3,9,1)-WEEKDAY(DATE($C$3,9,1),3)+32))=9,DAY((DATE($C$3,9,1)-WEEKDAY(DATE($C$3,9,1),3)+32)),"")</f>
        <v/>
      </c>
      <c r="W29" s="8" t="str">
        <f aca="false">IF(MONTH((DATE($C$3,9,1)-WEEKDAY(DATE($C$3,9,1),3)+33))=9,DAY((DATE($C$3,9,1)-WEEKDAY(DATE($C$3,9,1),3)+33)),"")</f>
        <v/>
      </c>
      <c r="X29" s="9" t="str">
        <f aca="false">IF(MONTH((DATE($C$3,9,1)-WEEKDAY(DATE($C$3,9,1),3)+34))=9,DAY((DATE($C$3,9,1)-WEEKDAY(DATE($C$3,9,1),3)+34)),"")</f>
        <v/>
      </c>
    </row>
    <row r="30" customFormat="false" ht="15.75" hidden="false" customHeight="true" outlineLevel="0" collapsed="false">
      <c r="B30" s="7" t="str">
        <f aca="false">IF(MONTH((DATE($C$3,7,1)-WEEKDAY(DATE($C$3,7,1),3)+35))=7,DAY((DATE($C$3,7,1)-WEEKDAY(DATE($C$3,7,1),3)+35)),"")</f>
        <v/>
      </c>
      <c r="C30" s="7" t="str">
        <f aca="false">IF(MONTH((DATE($C$3,7,1)-WEEKDAY(DATE($C$3,7,1),3)+36))=7,DAY((DATE($C$3,7,1)-WEEKDAY(DATE($C$3,7,1),3)+36)),"")</f>
        <v/>
      </c>
      <c r="D30" s="7" t="str">
        <f aca="false">IF(MONTH((DATE($C$3,7,1)-WEEKDAY(DATE($C$3,7,1),3)+37))=7,DAY((DATE($C$3,7,1)-WEEKDAY(DATE($C$3,7,1),3)+37)),"")</f>
        <v/>
      </c>
      <c r="E30" s="7" t="str">
        <f aca="false">IF(MONTH((DATE($C$3,7,1)-WEEKDAY(DATE($C$3,7,1),3)+38))=7,DAY((DATE($C$3,7,1)-WEEKDAY(DATE($C$3,7,1),3)+38)),"")</f>
        <v/>
      </c>
      <c r="F30" s="7" t="str">
        <f aca="false">IF(MONTH((DATE($C$3,7,1)-WEEKDAY(DATE($C$3,7,1),3)+39))=7,DAY((DATE($C$3,7,1)-WEEKDAY(DATE($C$3,7,1),3)+39)),"")</f>
        <v/>
      </c>
      <c r="G30" s="8" t="str">
        <f aca="false">IF(MONTH((DATE($C$3,7,1)-WEEKDAY(DATE($C$3,7,1),3)+40))=7,DAY((DATE($C$3,7,1)-WEEKDAY(DATE($C$3,7,1),3)+40)),"")</f>
        <v/>
      </c>
      <c r="H30" s="9" t="str">
        <f aca="false">IF(MONTH((DATE($C$3,7,1)-WEEKDAY(DATE($C$3,7,1),3)+41))=7,DAY((DATE($C$3,7,1)-WEEKDAY(DATE($C$3,7,1),3)+41)),"")</f>
        <v/>
      </c>
      <c r="J30" s="7" t="n">
        <f aca="false">IF(MONTH((DATE($C$3,8,1)-WEEKDAY(DATE($C$3,8,1),3)+35))=8,DAY((DATE($C$3,8,1)-WEEKDAY(DATE($C$3,8,1),3)+35)),"")</f>
        <v>30</v>
      </c>
      <c r="K30" s="7" t="n">
        <f aca="false">IF(MONTH((DATE($C$3,8,1)-WEEKDAY(DATE($C$3,8,1),3)+36))=8,DAY((DATE($C$3,8,1)-WEEKDAY(DATE($C$3,8,1),3)+36)),"")</f>
        <v>31</v>
      </c>
      <c r="L30" s="7" t="str">
        <f aca="false">IF(MONTH((DATE($C$3,8,1)-WEEKDAY(DATE($C$3,8,1),3)+37))=8,DAY((DATE($C$3,8,1)-WEEKDAY(DATE($C$3,8,1),3)+37)),"")</f>
        <v/>
      </c>
      <c r="M30" s="7" t="str">
        <f aca="false">IF(MONTH((DATE($C$3,8,1)-WEEKDAY(DATE($C$3,8,1),3)+38))=8,DAY((DATE($C$3,8,1)-WEEKDAY(DATE($C$3,8,1),3)+38)),"")</f>
        <v/>
      </c>
      <c r="N30" s="7" t="str">
        <f aca="false">IF(MONTH((DATE($C$3,8,1)-WEEKDAY(DATE($C$3,8,1),3)+39))=8,DAY((DATE($C$3,8,1)-WEEKDAY(DATE($C$3,8,1),3)+39)),"")</f>
        <v/>
      </c>
      <c r="O30" s="8" t="str">
        <f aca="false">IF(MONTH((DATE($C$3,8,1)-WEEKDAY(DATE($C$3,8,1),3)+40))=8,DAY((DATE($C$3,8,1)-WEEKDAY(DATE($C$3,8,1),3)+40)),"")</f>
        <v/>
      </c>
      <c r="P30" s="9" t="str">
        <f aca="false">IF(MONTH((DATE($C$3,8,1)-WEEKDAY(DATE($C$3,8,1),3)+41))=8,DAY((DATE($C$3,8,1)-WEEKDAY(DATE($C$3,8,1),3)+41)),"")</f>
        <v/>
      </c>
      <c r="R30" s="7" t="str">
        <f aca="false">IF(MONTH((DATE($C$3,9,1)-WEEKDAY(DATE($C$3,9,1),3)+35))=9,DAY((DATE($C$3,9,1)-WEEKDAY(DATE($C$3,9,1),3)+35)),"")</f>
        <v/>
      </c>
      <c r="S30" s="7" t="str">
        <f aca="false">IF(MONTH((DATE($C$3,9,1)-WEEKDAY(DATE($C$3,9,1),3)+36))=9,DAY((DATE($C$3,9,1)-WEEKDAY(DATE($C$3,9,1),3)+36)),"")</f>
        <v/>
      </c>
      <c r="T30" s="7" t="str">
        <f aca="false">IF(MONTH((DATE($C$3,9,1)-WEEKDAY(DATE($C$3,9,1),3)+37))=9,DAY((DATE($C$3,9,1)-WEEKDAY(DATE($C$3,9,1),3)+37)),"")</f>
        <v/>
      </c>
      <c r="U30" s="7" t="str">
        <f aca="false">IF(MONTH((DATE($C$3,9,1)-WEEKDAY(DATE($C$3,9,1),3)+38))=9,DAY((DATE($C$3,9,1)-WEEKDAY(DATE($C$3,9,1),3)+38)),"")</f>
        <v/>
      </c>
      <c r="V30" s="7" t="str">
        <f aca="false">IF(MONTH((DATE($C$3,9,1)-WEEKDAY(DATE($C$3,9,1),3)+39))=9,DAY((DATE($C$3,9,1)-WEEKDAY(DATE($C$3,9,1),3)+39)),"")</f>
        <v/>
      </c>
      <c r="W30" s="8" t="str">
        <f aca="false">IF(MONTH((DATE($C$3,9,1)-WEEKDAY(DATE($C$3,9,1),3)+40))=9,DAY((DATE($C$3,9,1)-WEEKDAY(DATE($C$3,9,1),3)+40)),"")</f>
        <v/>
      </c>
      <c r="X30" s="9" t="str">
        <f aca="false">IF(MONTH((DATE($C$3,9,1)-WEEKDAY(DATE($C$3,9,1),3)+41))=9,DAY((DATE($C$3,9,1)-WEEKDAY(DATE($C$3,9,1),3)+41)),"")</f>
        <v/>
      </c>
    </row>
    <row r="32" customFormat="false" ht="19.5" hidden="false" customHeight="true" outlineLevel="0" collapsed="false">
      <c r="B32" s="5" t="s">
        <v>18</v>
      </c>
      <c r="C32" s="5"/>
      <c r="D32" s="5"/>
      <c r="E32" s="5"/>
      <c r="F32" s="5"/>
      <c r="G32" s="5"/>
      <c r="H32" s="5"/>
      <c r="J32" s="5" t="s">
        <v>19</v>
      </c>
      <c r="K32" s="5"/>
      <c r="L32" s="5"/>
      <c r="M32" s="5"/>
      <c r="N32" s="5"/>
      <c r="O32" s="5"/>
      <c r="P32" s="5"/>
      <c r="R32" s="5" t="s">
        <v>20</v>
      </c>
      <c r="S32" s="5"/>
      <c r="T32" s="5"/>
      <c r="U32" s="5"/>
      <c r="V32" s="5"/>
      <c r="W32" s="5"/>
      <c r="X32" s="5"/>
    </row>
    <row r="33" customFormat="false" ht="15.75" hidden="false" customHeight="true" outlineLevel="0" collapsed="false">
      <c r="B33" s="6" t="s">
        <v>6</v>
      </c>
      <c r="C33" s="6" t="s">
        <v>7</v>
      </c>
      <c r="D33" s="6" t="s">
        <v>7</v>
      </c>
      <c r="E33" s="6" t="s">
        <v>8</v>
      </c>
      <c r="F33" s="6" t="s">
        <v>9</v>
      </c>
      <c r="G33" s="6" t="s">
        <v>10</v>
      </c>
      <c r="H33" s="6" t="s">
        <v>11</v>
      </c>
      <c r="J33" s="6" t="s">
        <v>6</v>
      </c>
      <c r="K33" s="6" t="s">
        <v>7</v>
      </c>
      <c r="L33" s="6" t="s">
        <v>7</v>
      </c>
      <c r="M33" s="6" t="s">
        <v>8</v>
      </c>
      <c r="N33" s="6" t="s">
        <v>9</v>
      </c>
      <c r="O33" s="6" t="s">
        <v>10</v>
      </c>
      <c r="P33" s="6" t="s">
        <v>11</v>
      </c>
      <c r="R33" s="6" t="s">
        <v>6</v>
      </c>
      <c r="S33" s="6" t="s">
        <v>7</v>
      </c>
      <c r="T33" s="6" t="s">
        <v>7</v>
      </c>
      <c r="U33" s="6" t="s">
        <v>8</v>
      </c>
      <c r="V33" s="6" t="s">
        <v>9</v>
      </c>
      <c r="W33" s="6" t="s">
        <v>10</v>
      </c>
      <c r="X33" s="6" t="s">
        <v>11</v>
      </c>
    </row>
    <row r="34" customFormat="false" ht="15.75" hidden="false" customHeight="true" outlineLevel="0" collapsed="false">
      <c r="B34" s="7" t="str">
        <f aca="false">IF(MONTH((DATE($C$3,10,1)-WEEKDAY(DATE($C$3,10,1),3)+0))=10,DAY((DATE($C$3,10,1)-WEEKDAY(DATE($C$3,10,1),3)+0)),"")</f>
        <v/>
      </c>
      <c r="C34" s="7" t="str">
        <f aca="false">IF(MONTH((DATE($C$3,10,1)-WEEKDAY(DATE($C$3,10,1),3)+1))=10,DAY((DATE($C$3,10,1)-WEEKDAY(DATE($C$3,10,1),3)+1)),"")</f>
        <v/>
      </c>
      <c r="D34" s="7" t="str">
        <f aca="false">IF(MONTH((DATE($C$3,10,1)-WEEKDAY(DATE($C$3,10,1),3)+2))=10,DAY((DATE($C$3,10,1)-WEEKDAY(DATE($C$3,10,1),3)+2)),"")</f>
        <v/>
      </c>
      <c r="E34" s="7" t="str">
        <f aca="false">IF(MONTH((DATE($C$3,10,1)-WEEKDAY(DATE($C$3,10,1),3)+3))=10,DAY((DATE($C$3,10,1)-WEEKDAY(DATE($C$3,10,1),3)+3)),"")</f>
        <v/>
      </c>
      <c r="F34" s="7" t="n">
        <f aca="false">IF(MONTH((DATE($C$3,10,1)-WEEKDAY(DATE($C$3,10,1),3)+4))=10,DAY((DATE($C$3,10,1)-WEEKDAY(DATE($C$3,10,1),3)+4)),"")</f>
        <v>1</v>
      </c>
      <c r="G34" s="8" t="n">
        <f aca="false">IF(MONTH((DATE($C$3,10,1)-WEEKDAY(DATE($C$3,10,1),3)+5))=10,DAY((DATE($C$3,10,1)-WEEKDAY(DATE($C$3,10,1),3)+5)),"")</f>
        <v>2</v>
      </c>
      <c r="H34" s="9" t="n">
        <f aca="false">IF(MONTH((DATE($C$3,10,1)-WEEKDAY(DATE($C$3,10,1),3)+6))=10,DAY((DATE($C$3,10,1)-WEEKDAY(DATE($C$3,10,1),3)+6)),"")</f>
        <v>3</v>
      </c>
      <c r="J34" s="7" t="n">
        <f aca="false">IF(MONTH((DATE($C$3,11,1)-WEEKDAY(DATE($C$3,11,1),3)+0))=11,DAY((DATE($C$3,11,1)-WEEKDAY(DATE($C$3,11,1),3)+0)),"")</f>
        <v>1</v>
      </c>
      <c r="K34" s="7" t="n">
        <f aca="false">IF(MONTH((DATE($C$3,11,1)-WEEKDAY(DATE($C$3,11,1),3)+1))=11,DAY((DATE($C$3,11,1)-WEEKDAY(DATE($C$3,11,1),3)+1)),"")</f>
        <v>2</v>
      </c>
      <c r="L34" s="7" t="n">
        <f aca="false">IF(MONTH((DATE($C$3,11,1)-WEEKDAY(DATE($C$3,11,1),3)+2))=11,DAY((DATE($C$3,11,1)-WEEKDAY(DATE($C$3,11,1),3)+2)),"")</f>
        <v>3</v>
      </c>
      <c r="M34" s="7" t="n">
        <f aca="false">IF(MONTH((DATE($C$3,11,1)-WEEKDAY(DATE($C$3,11,1),3)+3))=11,DAY((DATE($C$3,11,1)-WEEKDAY(DATE($C$3,11,1),3)+3)),"")</f>
        <v>4</v>
      </c>
      <c r="N34" s="7" t="n">
        <f aca="false">IF(MONTH((DATE($C$3,11,1)-WEEKDAY(DATE($C$3,11,1),3)+4))=11,DAY((DATE($C$3,11,1)-WEEKDAY(DATE($C$3,11,1),3)+4)),"")</f>
        <v>5</v>
      </c>
      <c r="O34" s="8" t="n">
        <f aca="false">IF(MONTH((DATE($C$3,11,1)-WEEKDAY(DATE($C$3,11,1),3)+5))=11,DAY((DATE($C$3,11,1)-WEEKDAY(DATE($C$3,11,1),3)+5)),"")</f>
        <v>6</v>
      </c>
      <c r="P34" s="9" t="n">
        <f aca="false">IF(MONTH((DATE($C$3,11,1)-WEEKDAY(DATE($C$3,11,1),3)+6))=11,DAY((DATE($C$3,11,1)-WEEKDAY(DATE($C$3,11,1),3)+6)),"")</f>
        <v>7</v>
      </c>
      <c r="R34" s="7" t="str">
        <f aca="false">IF(MONTH((DATE($C$3,12,1)-WEEKDAY(DATE($C$3,12,1),3)+0))=12,DAY((DATE($C$3,12,1)-WEEKDAY(DATE($C$3,12,1),3)+0)),"")</f>
        <v/>
      </c>
      <c r="S34" s="7" t="str">
        <f aca="false">IF(MONTH((DATE($C$3,12,1)-WEEKDAY(DATE($C$3,12,1),3)+1))=12,DAY((DATE($C$3,12,1)-WEEKDAY(DATE($C$3,12,1),3)+1)),"")</f>
        <v/>
      </c>
      <c r="T34" s="7" t="n">
        <f aca="false">IF(MONTH((DATE($C$3,12,1)-WEEKDAY(DATE($C$3,12,1),3)+2))=12,DAY((DATE($C$3,12,1)-WEEKDAY(DATE($C$3,12,1),3)+2)),"")</f>
        <v>1</v>
      </c>
      <c r="U34" s="7" t="n">
        <f aca="false">IF(MONTH((DATE($C$3,12,1)-WEEKDAY(DATE($C$3,12,1),3)+3))=12,DAY((DATE($C$3,12,1)-WEEKDAY(DATE($C$3,12,1),3)+3)),"")</f>
        <v>2</v>
      </c>
      <c r="V34" s="7" t="n">
        <f aca="false">IF(MONTH((DATE($C$3,12,1)-WEEKDAY(DATE($C$3,12,1),3)+4))=12,DAY((DATE($C$3,12,1)-WEEKDAY(DATE($C$3,12,1),3)+4)),"")</f>
        <v>3</v>
      </c>
      <c r="W34" s="8" t="n">
        <f aca="false">IF(MONTH((DATE($C$3,12,1)-WEEKDAY(DATE($C$3,12,1),3)+5))=12,DAY((DATE($C$3,12,1)-WEEKDAY(DATE($C$3,12,1),3)+5)),"")</f>
        <v>4</v>
      </c>
      <c r="X34" s="9" t="n">
        <f aca="false">IF(MONTH((DATE($C$3,12,1)-WEEKDAY(DATE($C$3,12,1),3)+6))=12,DAY((DATE($C$3,12,1)-WEEKDAY(DATE($C$3,12,1),3)+6)),"")</f>
        <v>5</v>
      </c>
    </row>
    <row r="35" customFormat="false" ht="15.75" hidden="false" customHeight="true" outlineLevel="0" collapsed="false">
      <c r="B35" s="7" t="n">
        <f aca="false">IF(MONTH((DATE($C$3,10,1)-WEEKDAY(DATE($C$3,10,1),3)+7))=10,DAY((DATE($C$3,10,1)-WEEKDAY(DATE($C$3,10,1),3)+7)),"")</f>
        <v>4</v>
      </c>
      <c r="C35" s="7" t="n">
        <f aca="false">IF(MONTH((DATE($C$3,10,1)-WEEKDAY(DATE($C$3,10,1),3)+8))=10,DAY((DATE($C$3,10,1)-WEEKDAY(DATE($C$3,10,1),3)+8)),"")</f>
        <v>5</v>
      </c>
      <c r="D35" s="7" t="n">
        <f aca="false">IF(MONTH((DATE($C$3,10,1)-WEEKDAY(DATE($C$3,10,1),3)+9))=10,DAY((DATE($C$3,10,1)-WEEKDAY(DATE($C$3,10,1),3)+9)),"")</f>
        <v>6</v>
      </c>
      <c r="E35" s="7" t="n">
        <f aca="false">IF(MONTH((DATE($C$3,10,1)-WEEKDAY(DATE($C$3,10,1),3)+10))=10,DAY((DATE($C$3,10,1)-WEEKDAY(DATE($C$3,10,1),3)+10)),"")</f>
        <v>7</v>
      </c>
      <c r="F35" s="7" t="n">
        <f aca="false">IF(MONTH((DATE($C$3,10,1)-WEEKDAY(DATE($C$3,10,1),3)+11))=10,DAY((DATE($C$3,10,1)-WEEKDAY(DATE($C$3,10,1),3)+11)),"")</f>
        <v>8</v>
      </c>
      <c r="G35" s="8" t="n">
        <f aca="false">IF(MONTH((DATE($C$3,10,1)-WEEKDAY(DATE($C$3,10,1),3)+12))=10,DAY((DATE($C$3,10,1)-WEEKDAY(DATE($C$3,10,1),3)+12)),"")</f>
        <v>9</v>
      </c>
      <c r="H35" s="9" t="n">
        <f aca="false">IF(MONTH((DATE($C$3,10,1)-WEEKDAY(DATE($C$3,10,1),3)+13))=10,DAY((DATE($C$3,10,1)-WEEKDAY(DATE($C$3,10,1),3)+13)),"")</f>
        <v>10</v>
      </c>
      <c r="J35" s="7" t="n">
        <f aca="false">IF(MONTH((DATE($C$3,11,1)-WEEKDAY(DATE($C$3,11,1),3)+7))=11,DAY((DATE($C$3,11,1)-WEEKDAY(DATE($C$3,11,1),3)+7)),"")</f>
        <v>8</v>
      </c>
      <c r="K35" s="7" t="n">
        <f aca="false">IF(MONTH((DATE($C$3,11,1)-WEEKDAY(DATE($C$3,11,1),3)+8))=11,DAY((DATE($C$3,11,1)-WEEKDAY(DATE($C$3,11,1),3)+8)),"")</f>
        <v>9</v>
      </c>
      <c r="L35" s="7" t="n">
        <f aca="false">IF(MONTH((DATE($C$3,11,1)-WEEKDAY(DATE($C$3,11,1),3)+9))=11,DAY((DATE($C$3,11,1)-WEEKDAY(DATE($C$3,11,1),3)+9)),"")</f>
        <v>10</v>
      </c>
      <c r="M35" s="7" t="n">
        <f aca="false">IF(MONTH((DATE($C$3,11,1)-WEEKDAY(DATE($C$3,11,1),3)+10))=11,DAY((DATE($C$3,11,1)-WEEKDAY(DATE($C$3,11,1),3)+10)),"")</f>
        <v>11</v>
      </c>
      <c r="N35" s="7" t="n">
        <f aca="false">IF(MONTH((DATE($C$3,11,1)-WEEKDAY(DATE($C$3,11,1),3)+11))=11,DAY((DATE($C$3,11,1)-WEEKDAY(DATE($C$3,11,1),3)+11)),"")</f>
        <v>12</v>
      </c>
      <c r="O35" s="8" t="n">
        <f aca="false">IF(MONTH((DATE($C$3,11,1)-WEEKDAY(DATE($C$3,11,1),3)+12))=11,DAY((DATE($C$3,11,1)-WEEKDAY(DATE($C$3,11,1),3)+12)),"")</f>
        <v>13</v>
      </c>
      <c r="P35" s="9" t="n">
        <f aca="false">IF(MONTH((DATE($C$3,11,1)-WEEKDAY(DATE($C$3,11,1),3)+13))=11,DAY((DATE($C$3,11,1)-WEEKDAY(DATE($C$3,11,1),3)+13)),"")</f>
        <v>14</v>
      </c>
      <c r="R35" s="7" t="n">
        <f aca="false">IF(MONTH((DATE($C$3,12,1)-WEEKDAY(DATE($C$3,12,1),3)+7))=12,DAY((DATE($C$3,12,1)-WEEKDAY(DATE($C$3,12,1),3)+7)),"")</f>
        <v>6</v>
      </c>
      <c r="S35" s="7" t="n">
        <f aca="false">IF(MONTH((DATE($C$3,12,1)-WEEKDAY(DATE($C$3,12,1),3)+8))=12,DAY((DATE($C$3,12,1)-WEEKDAY(DATE($C$3,12,1),3)+8)),"")</f>
        <v>7</v>
      </c>
      <c r="T35" s="7" t="n">
        <f aca="false">IF(MONTH((DATE($C$3,12,1)-WEEKDAY(DATE($C$3,12,1),3)+9))=12,DAY((DATE($C$3,12,1)-WEEKDAY(DATE($C$3,12,1),3)+9)),"")</f>
        <v>8</v>
      </c>
      <c r="U35" s="7" t="n">
        <f aca="false">IF(MONTH((DATE($C$3,12,1)-WEEKDAY(DATE($C$3,12,1),3)+10))=12,DAY((DATE($C$3,12,1)-WEEKDAY(DATE($C$3,12,1),3)+10)),"")</f>
        <v>9</v>
      </c>
      <c r="V35" s="7" t="n">
        <f aca="false">IF(MONTH((DATE($C$3,12,1)-WEEKDAY(DATE($C$3,12,1),3)+11))=12,DAY((DATE($C$3,12,1)-WEEKDAY(DATE($C$3,12,1),3)+11)),"")</f>
        <v>10</v>
      </c>
      <c r="W35" s="8" t="n">
        <f aca="false">IF(MONTH((DATE($C$3,12,1)-WEEKDAY(DATE($C$3,12,1),3)+12))=12,DAY((DATE($C$3,12,1)-WEEKDAY(DATE($C$3,12,1),3)+12)),"")</f>
        <v>11</v>
      </c>
      <c r="X35" s="9" t="n">
        <f aca="false">IF(MONTH((DATE($C$3,12,1)-WEEKDAY(DATE($C$3,12,1),3)+13))=12,DAY((DATE($C$3,12,1)-WEEKDAY(DATE($C$3,12,1),3)+13)),"")</f>
        <v>12</v>
      </c>
    </row>
    <row r="36" customFormat="false" ht="15.75" hidden="false" customHeight="true" outlineLevel="0" collapsed="false">
      <c r="B36" s="7" t="n">
        <f aca="false">IF(MONTH((DATE($C$3,10,1)-WEEKDAY(DATE($C$3,10,1),3)+14))=10,DAY((DATE($C$3,10,1)-WEEKDAY(DATE($C$3,10,1),3)+14)),"")</f>
        <v>11</v>
      </c>
      <c r="C36" s="7" t="n">
        <f aca="false">IF(MONTH((DATE($C$3,10,1)-WEEKDAY(DATE($C$3,10,1),3)+15))=10,DAY((DATE($C$3,10,1)-WEEKDAY(DATE($C$3,10,1),3)+15)),"")</f>
        <v>12</v>
      </c>
      <c r="D36" s="7" t="n">
        <f aca="false">IF(MONTH((DATE($C$3,10,1)-WEEKDAY(DATE($C$3,10,1),3)+16))=10,DAY((DATE($C$3,10,1)-WEEKDAY(DATE($C$3,10,1),3)+16)),"")</f>
        <v>13</v>
      </c>
      <c r="E36" s="7" t="n">
        <f aca="false">IF(MONTH((DATE($C$3,10,1)-WEEKDAY(DATE($C$3,10,1),3)+17))=10,DAY((DATE($C$3,10,1)-WEEKDAY(DATE($C$3,10,1),3)+17)),"")</f>
        <v>14</v>
      </c>
      <c r="F36" s="7" t="n">
        <f aca="false">IF(MONTH((DATE($C$3,10,1)-WEEKDAY(DATE($C$3,10,1),3)+18))=10,DAY((DATE($C$3,10,1)-WEEKDAY(DATE($C$3,10,1),3)+18)),"")</f>
        <v>15</v>
      </c>
      <c r="G36" s="8" t="n">
        <f aca="false">IF(MONTH((DATE($C$3,10,1)-WEEKDAY(DATE($C$3,10,1),3)+19))=10,DAY((DATE($C$3,10,1)-WEEKDAY(DATE($C$3,10,1),3)+19)),"")</f>
        <v>16</v>
      </c>
      <c r="H36" s="9" t="n">
        <f aca="false">IF(MONTH((DATE($C$3,10,1)-WEEKDAY(DATE($C$3,10,1),3)+20))=10,DAY((DATE($C$3,10,1)-WEEKDAY(DATE($C$3,10,1),3)+20)),"")</f>
        <v>17</v>
      </c>
      <c r="J36" s="7" t="n">
        <f aca="false">IF(MONTH((DATE($C$3,11,1)-WEEKDAY(DATE($C$3,11,1),3)+14))=11,DAY((DATE($C$3,11,1)-WEEKDAY(DATE($C$3,11,1),3)+14)),"")</f>
        <v>15</v>
      </c>
      <c r="K36" s="7" t="n">
        <f aca="false">IF(MONTH((DATE($C$3,11,1)-WEEKDAY(DATE($C$3,11,1),3)+15))=11,DAY((DATE($C$3,11,1)-WEEKDAY(DATE($C$3,11,1),3)+15)),"")</f>
        <v>16</v>
      </c>
      <c r="L36" s="7" t="n">
        <f aca="false">IF(MONTH((DATE($C$3,11,1)-WEEKDAY(DATE($C$3,11,1),3)+16))=11,DAY((DATE($C$3,11,1)-WEEKDAY(DATE($C$3,11,1),3)+16)),"")</f>
        <v>17</v>
      </c>
      <c r="M36" s="7" t="n">
        <f aca="false">IF(MONTH((DATE($C$3,11,1)-WEEKDAY(DATE($C$3,11,1),3)+17))=11,DAY((DATE($C$3,11,1)-WEEKDAY(DATE($C$3,11,1),3)+17)),"")</f>
        <v>18</v>
      </c>
      <c r="N36" s="7" t="n">
        <f aca="false">IF(MONTH((DATE($C$3,11,1)-WEEKDAY(DATE($C$3,11,1),3)+18))=11,DAY((DATE($C$3,11,1)-WEEKDAY(DATE($C$3,11,1),3)+18)),"")</f>
        <v>19</v>
      </c>
      <c r="O36" s="8" t="n">
        <f aca="false">IF(MONTH((DATE($C$3,11,1)-WEEKDAY(DATE($C$3,11,1),3)+19))=11,DAY((DATE($C$3,11,1)-WEEKDAY(DATE($C$3,11,1),3)+19)),"")</f>
        <v>20</v>
      </c>
      <c r="P36" s="9" t="n">
        <f aca="false">IF(MONTH((DATE($C$3,11,1)-WEEKDAY(DATE($C$3,11,1),3)+20))=11,DAY((DATE($C$3,11,1)-WEEKDAY(DATE($C$3,11,1),3)+20)),"")</f>
        <v>21</v>
      </c>
      <c r="R36" s="7" t="n">
        <f aca="false">IF(MONTH((DATE($C$3,12,1)-WEEKDAY(DATE($C$3,12,1),3)+14))=12,DAY((DATE($C$3,12,1)-WEEKDAY(DATE($C$3,12,1),3)+14)),"")</f>
        <v>13</v>
      </c>
      <c r="S36" s="7" t="n">
        <f aca="false">IF(MONTH((DATE($C$3,12,1)-WEEKDAY(DATE($C$3,12,1),3)+15))=12,DAY((DATE($C$3,12,1)-WEEKDAY(DATE($C$3,12,1),3)+15)),"")</f>
        <v>14</v>
      </c>
      <c r="T36" s="7" t="n">
        <f aca="false">IF(MONTH((DATE($C$3,12,1)-WEEKDAY(DATE($C$3,12,1),3)+16))=12,DAY((DATE($C$3,12,1)-WEEKDAY(DATE($C$3,12,1),3)+16)),"")</f>
        <v>15</v>
      </c>
      <c r="U36" s="7" t="n">
        <f aca="false">IF(MONTH((DATE($C$3,12,1)-WEEKDAY(DATE($C$3,12,1),3)+17))=12,DAY((DATE($C$3,12,1)-WEEKDAY(DATE($C$3,12,1),3)+17)),"")</f>
        <v>16</v>
      </c>
      <c r="V36" s="7" t="n">
        <f aca="false">IF(MONTH((DATE($C$3,12,1)-WEEKDAY(DATE($C$3,12,1),3)+18))=12,DAY((DATE($C$3,12,1)-WEEKDAY(DATE($C$3,12,1),3)+18)),"")</f>
        <v>17</v>
      </c>
      <c r="W36" s="8" t="n">
        <f aca="false">IF(MONTH((DATE($C$3,12,1)-WEEKDAY(DATE($C$3,12,1),3)+19))=12,DAY((DATE($C$3,12,1)-WEEKDAY(DATE($C$3,12,1),3)+19)),"")</f>
        <v>18</v>
      </c>
      <c r="X36" s="9" t="n">
        <f aca="false">IF(MONTH((DATE($C$3,12,1)-WEEKDAY(DATE($C$3,12,1),3)+20))=12,DAY((DATE($C$3,12,1)-WEEKDAY(DATE($C$3,12,1),3)+20)),"")</f>
        <v>19</v>
      </c>
    </row>
    <row r="37" customFormat="false" ht="15.75" hidden="false" customHeight="true" outlineLevel="0" collapsed="false">
      <c r="B37" s="7" t="n">
        <f aca="false">IF(MONTH((DATE($C$3,10,1)-WEEKDAY(DATE($C$3,10,1),3)+21))=10,DAY((DATE($C$3,10,1)-WEEKDAY(DATE($C$3,10,1),3)+21)),"")</f>
        <v>18</v>
      </c>
      <c r="C37" s="7" t="n">
        <f aca="false">IF(MONTH((DATE($C$3,10,1)-WEEKDAY(DATE($C$3,10,1),3)+22))=10,DAY((DATE($C$3,10,1)-WEEKDAY(DATE($C$3,10,1),3)+22)),"")</f>
        <v>19</v>
      </c>
      <c r="D37" s="7" t="n">
        <f aca="false">IF(MONTH((DATE($C$3,10,1)-WEEKDAY(DATE($C$3,10,1),3)+23))=10,DAY((DATE($C$3,10,1)-WEEKDAY(DATE($C$3,10,1),3)+23)),"")</f>
        <v>20</v>
      </c>
      <c r="E37" s="7" t="n">
        <f aca="false">IF(MONTH((DATE($C$3,10,1)-WEEKDAY(DATE($C$3,10,1),3)+24))=10,DAY((DATE($C$3,10,1)-WEEKDAY(DATE($C$3,10,1),3)+24)),"")</f>
        <v>21</v>
      </c>
      <c r="F37" s="7" t="n">
        <f aca="false">IF(MONTH((DATE($C$3,10,1)-WEEKDAY(DATE($C$3,10,1),3)+25))=10,DAY((DATE($C$3,10,1)-WEEKDAY(DATE($C$3,10,1),3)+25)),"")</f>
        <v>22</v>
      </c>
      <c r="G37" s="8" t="n">
        <f aca="false">IF(MONTH((DATE($C$3,10,1)-WEEKDAY(DATE($C$3,10,1),3)+26))=10,DAY((DATE($C$3,10,1)-WEEKDAY(DATE($C$3,10,1),3)+26)),"")</f>
        <v>23</v>
      </c>
      <c r="H37" s="9" t="n">
        <f aca="false">IF(MONTH((DATE($C$3,10,1)-WEEKDAY(DATE($C$3,10,1),3)+27))=10,DAY((DATE($C$3,10,1)-WEEKDAY(DATE($C$3,10,1),3)+27)),"")</f>
        <v>24</v>
      </c>
      <c r="J37" s="7" t="n">
        <f aca="false">IF(MONTH((DATE($C$3,11,1)-WEEKDAY(DATE($C$3,11,1),3)+21))=11,DAY((DATE($C$3,11,1)-WEEKDAY(DATE($C$3,11,1),3)+21)),"")</f>
        <v>22</v>
      </c>
      <c r="K37" s="7" t="n">
        <f aca="false">IF(MONTH((DATE($C$3,11,1)-WEEKDAY(DATE($C$3,11,1),3)+22))=11,DAY((DATE($C$3,11,1)-WEEKDAY(DATE($C$3,11,1),3)+22)),"")</f>
        <v>23</v>
      </c>
      <c r="L37" s="7" t="n">
        <f aca="false">IF(MONTH((DATE($C$3,11,1)-WEEKDAY(DATE($C$3,11,1),3)+23))=11,DAY((DATE($C$3,11,1)-WEEKDAY(DATE($C$3,11,1),3)+23)),"")</f>
        <v>24</v>
      </c>
      <c r="M37" s="7" t="n">
        <f aca="false">IF(MONTH((DATE($C$3,11,1)-WEEKDAY(DATE($C$3,11,1),3)+24))=11,DAY((DATE($C$3,11,1)-WEEKDAY(DATE($C$3,11,1),3)+24)),"")</f>
        <v>25</v>
      </c>
      <c r="N37" s="7" t="n">
        <f aca="false">IF(MONTH((DATE($C$3,11,1)-WEEKDAY(DATE($C$3,11,1),3)+25))=11,DAY((DATE($C$3,11,1)-WEEKDAY(DATE($C$3,11,1),3)+25)),"")</f>
        <v>26</v>
      </c>
      <c r="O37" s="8" t="n">
        <f aca="false">IF(MONTH((DATE($C$3,11,1)-WEEKDAY(DATE($C$3,11,1),3)+26))=11,DAY((DATE($C$3,11,1)-WEEKDAY(DATE($C$3,11,1),3)+26)),"")</f>
        <v>27</v>
      </c>
      <c r="P37" s="9" t="n">
        <f aca="false">IF(MONTH((DATE($C$3,11,1)-WEEKDAY(DATE($C$3,11,1),3)+27))=11,DAY((DATE($C$3,11,1)-WEEKDAY(DATE($C$3,11,1),3)+27)),"")</f>
        <v>28</v>
      </c>
      <c r="R37" s="7" t="n">
        <f aca="false">IF(MONTH((DATE($C$3,12,1)-WEEKDAY(DATE($C$3,12,1),3)+21))=12,DAY((DATE($C$3,12,1)-WEEKDAY(DATE($C$3,12,1),3)+21)),"")</f>
        <v>20</v>
      </c>
      <c r="S37" s="7" t="n">
        <f aca="false">IF(MONTH((DATE($C$3,12,1)-WEEKDAY(DATE($C$3,12,1),3)+22))=12,DAY((DATE($C$3,12,1)-WEEKDAY(DATE($C$3,12,1),3)+22)),"")</f>
        <v>21</v>
      </c>
      <c r="T37" s="7" t="n">
        <f aca="false">IF(MONTH((DATE($C$3,12,1)-WEEKDAY(DATE($C$3,12,1),3)+23))=12,DAY((DATE($C$3,12,1)-WEEKDAY(DATE($C$3,12,1),3)+23)),"")</f>
        <v>22</v>
      </c>
      <c r="U37" s="7" t="n">
        <f aca="false">IF(MONTH((DATE($C$3,12,1)-WEEKDAY(DATE($C$3,12,1),3)+24))=12,DAY((DATE($C$3,12,1)-WEEKDAY(DATE($C$3,12,1),3)+24)),"")</f>
        <v>23</v>
      </c>
      <c r="V37" s="7" t="n">
        <f aca="false">IF(MONTH((DATE($C$3,12,1)-WEEKDAY(DATE($C$3,12,1),3)+25))=12,DAY((DATE($C$3,12,1)-WEEKDAY(DATE($C$3,12,1),3)+25)),"")</f>
        <v>24</v>
      </c>
      <c r="W37" s="8" t="n">
        <f aca="false">IF(MONTH((DATE($C$3,12,1)-WEEKDAY(DATE($C$3,12,1),3)+26))=12,DAY((DATE($C$3,12,1)-WEEKDAY(DATE($C$3,12,1),3)+26)),"")</f>
        <v>25</v>
      </c>
      <c r="X37" s="9" t="n">
        <f aca="false">IF(MONTH((DATE($C$3,12,1)-WEEKDAY(DATE($C$3,12,1),3)+27))=12,DAY((DATE($C$3,12,1)-WEEKDAY(DATE($C$3,12,1),3)+27)),"")</f>
        <v>26</v>
      </c>
    </row>
    <row r="38" customFormat="false" ht="15.75" hidden="false" customHeight="true" outlineLevel="0" collapsed="false">
      <c r="B38" s="7" t="n">
        <f aca="false">IF(MONTH((DATE($C$3,10,1)-WEEKDAY(DATE($C$3,10,1),3)+28))=10,DAY((DATE($C$3,10,1)-WEEKDAY(DATE($C$3,10,1),3)+28)),"")</f>
        <v>25</v>
      </c>
      <c r="C38" s="7" t="n">
        <f aca="false">IF(MONTH((DATE($C$3,10,1)-WEEKDAY(DATE($C$3,10,1),3)+29))=10,DAY((DATE($C$3,10,1)-WEEKDAY(DATE($C$3,10,1),3)+29)),"")</f>
        <v>26</v>
      </c>
      <c r="D38" s="7" t="n">
        <f aca="false">IF(MONTH((DATE($C$3,10,1)-WEEKDAY(DATE($C$3,10,1),3)+30))=10,DAY((DATE($C$3,10,1)-WEEKDAY(DATE($C$3,10,1),3)+30)),"")</f>
        <v>27</v>
      </c>
      <c r="E38" s="7" t="n">
        <f aca="false">IF(MONTH((DATE($C$3,10,1)-WEEKDAY(DATE($C$3,10,1),3)+31))=10,DAY((DATE($C$3,10,1)-WEEKDAY(DATE($C$3,10,1),3)+31)),"")</f>
        <v>28</v>
      </c>
      <c r="F38" s="7" t="n">
        <f aca="false">IF(MONTH((DATE($C$3,10,1)-WEEKDAY(DATE($C$3,10,1),3)+32))=10,DAY((DATE($C$3,10,1)-WEEKDAY(DATE($C$3,10,1),3)+32)),"")</f>
        <v>29</v>
      </c>
      <c r="G38" s="8" t="n">
        <f aca="false">IF(MONTH((DATE($C$3,10,1)-WEEKDAY(DATE($C$3,10,1),3)+33))=10,DAY((DATE($C$3,10,1)-WEEKDAY(DATE($C$3,10,1),3)+33)),"")</f>
        <v>30</v>
      </c>
      <c r="H38" s="9" t="n">
        <f aca="false">IF(MONTH((DATE($C$3,10,1)-WEEKDAY(DATE($C$3,10,1),3)+34))=10,DAY((DATE($C$3,10,1)-WEEKDAY(DATE($C$3,10,1),3)+34)),"")</f>
        <v>31</v>
      </c>
      <c r="J38" s="7" t="n">
        <f aca="false">IF(MONTH((DATE($C$3,11,1)-WEEKDAY(DATE($C$3,11,1),3)+28))=11,DAY((DATE($C$3,11,1)-WEEKDAY(DATE($C$3,11,1),3)+28)),"")</f>
        <v>29</v>
      </c>
      <c r="K38" s="7" t="n">
        <f aca="false">IF(MONTH((DATE($C$3,11,1)-WEEKDAY(DATE($C$3,11,1),3)+29))=11,DAY((DATE($C$3,11,1)-WEEKDAY(DATE($C$3,11,1),3)+29)),"")</f>
        <v>30</v>
      </c>
      <c r="L38" s="7" t="str">
        <f aca="false">IF(MONTH((DATE($C$3,11,1)-WEEKDAY(DATE($C$3,11,1),3)+30))=11,DAY((DATE($C$3,11,1)-WEEKDAY(DATE($C$3,11,1),3)+30)),"")</f>
        <v/>
      </c>
      <c r="M38" s="7" t="str">
        <f aca="false">IF(MONTH((DATE($C$3,11,1)-WEEKDAY(DATE($C$3,11,1),3)+31))=11,DAY((DATE($C$3,11,1)-WEEKDAY(DATE($C$3,11,1),3)+31)),"")</f>
        <v/>
      </c>
      <c r="N38" s="7" t="str">
        <f aca="false">IF(MONTH((DATE($C$3,11,1)-WEEKDAY(DATE($C$3,11,1),3)+32))=11,DAY((DATE($C$3,11,1)-WEEKDAY(DATE($C$3,11,1),3)+32)),"")</f>
        <v/>
      </c>
      <c r="O38" s="8" t="str">
        <f aca="false">IF(MONTH((DATE($C$3,11,1)-WEEKDAY(DATE($C$3,11,1),3)+33))=11,DAY((DATE($C$3,11,1)-WEEKDAY(DATE($C$3,11,1),3)+33)),"")</f>
        <v/>
      </c>
      <c r="P38" s="9" t="str">
        <f aca="false">IF(MONTH((DATE($C$3,11,1)-WEEKDAY(DATE($C$3,11,1),3)+34))=11,DAY((DATE($C$3,11,1)-WEEKDAY(DATE($C$3,11,1),3)+34)),"")</f>
        <v/>
      </c>
      <c r="R38" s="7" t="n">
        <f aca="false">IF(MONTH((DATE($C$3,12,1)-WEEKDAY(DATE($C$3,12,1),3)+28))=12,DAY((DATE($C$3,12,1)-WEEKDAY(DATE($C$3,12,1),3)+28)),"")</f>
        <v>27</v>
      </c>
      <c r="S38" s="7" t="n">
        <f aca="false">IF(MONTH((DATE($C$3,12,1)-WEEKDAY(DATE($C$3,12,1),3)+29))=12,DAY((DATE($C$3,12,1)-WEEKDAY(DATE($C$3,12,1),3)+29)),"")</f>
        <v>28</v>
      </c>
      <c r="T38" s="7" t="n">
        <f aca="false">IF(MONTH((DATE($C$3,12,1)-WEEKDAY(DATE($C$3,12,1),3)+30))=12,DAY((DATE($C$3,12,1)-WEEKDAY(DATE($C$3,12,1),3)+30)),"")</f>
        <v>29</v>
      </c>
      <c r="U38" s="7" t="n">
        <f aca="false">IF(MONTH((DATE($C$3,12,1)-WEEKDAY(DATE($C$3,12,1),3)+31))=12,DAY((DATE($C$3,12,1)-WEEKDAY(DATE($C$3,12,1),3)+31)),"")</f>
        <v>30</v>
      </c>
      <c r="V38" s="7" t="n">
        <f aca="false">IF(MONTH((DATE($C$3,12,1)-WEEKDAY(DATE($C$3,12,1),3)+32))=12,DAY((DATE($C$3,12,1)-WEEKDAY(DATE($C$3,12,1),3)+32)),"")</f>
        <v>31</v>
      </c>
      <c r="W38" s="8" t="str">
        <f aca="false">IF(MONTH((DATE($C$3,12,1)-WEEKDAY(DATE($C$3,12,1),3)+33))=12,DAY((DATE($C$3,12,1)-WEEKDAY(DATE($C$3,12,1),3)+33)),"")</f>
        <v/>
      </c>
      <c r="X38" s="9" t="str">
        <f aca="false">IF(MONTH((DATE($C$3,12,1)-WEEKDAY(DATE($C$3,12,1),3)+34))=12,DAY((DATE($C$3,12,1)-WEEKDAY(DATE($C$3,12,1),3)+34)),"")</f>
        <v/>
      </c>
    </row>
    <row r="39" customFormat="false" ht="15.75" hidden="false" customHeight="true" outlineLevel="0" collapsed="false">
      <c r="B39" s="7" t="str">
        <f aca="false">IF(MONTH((DATE($C$3,10,1)-WEEKDAY(DATE($C$3,10,1),3)+35))=10,DAY((DATE($C$3,10,1)-WEEKDAY(DATE($C$3,10,1),3)+35)),"")</f>
        <v/>
      </c>
      <c r="C39" s="7" t="str">
        <f aca="false">IF(MONTH((DATE($C$3,10,1)-WEEKDAY(DATE($C$3,10,1),3)+36))=10,DAY((DATE($C$3,10,1)-WEEKDAY(DATE($C$3,10,1),3)+36)),"")</f>
        <v/>
      </c>
      <c r="D39" s="7" t="str">
        <f aca="false">IF(MONTH((DATE($C$3,10,1)-WEEKDAY(DATE($C$3,10,1),3)+37))=10,DAY((DATE($C$3,10,1)-WEEKDAY(DATE($C$3,10,1),3)+37)),"")</f>
        <v/>
      </c>
      <c r="E39" s="7" t="str">
        <f aca="false">IF(MONTH((DATE($C$3,10,1)-WEEKDAY(DATE($C$3,10,1),3)+38))=10,DAY((DATE($C$3,10,1)-WEEKDAY(DATE($C$3,10,1),3)+38)),"")</f>
        <v/>
      </c>
      <c r="F39" s="7" t="str">
        <f aca="false">IF(MONTH((DATE($C$3,10,1)-WEEKDAY(DATE($C$3,10,1),3)+39))=10,DAY((DATE($C$3,10,1)-WEEKDAY(DATE($C$3,10,1),3)+39)),"")</f>
        <v/>
      </c>
      <c r="G39" s="8" t="str">
        <f aca="false">IF(MONTH((DATE($C$3,10,1)-WEEKDAY(DATE($C$3,10,1),3)+40))=10,DAY((DATE($C$3,10,1)-WEEKDAY(DATE($C$3,10,1),3)+40)),"")</f>
        <v/>
      </c>
      <c r="H39" s="9" t="str">
        <f aca="false">IF(MONTH((DATE($C$3,10,1)-WEEKDAY(DATE($C$3,10,1),3)+41))=10,DAY((DATE($C$3,10,1)-WEEKDAY(DATE($C$3,10,1),3)+41)),"")</f>
        <v/>
      </c>
      <c r="J39" s="7" t="str">
        <f aca="false">IF(MONTH((DATE($C$3,11,1)-WEEKDAY(DATE($C$3,11,1),3)+35))=11,DAY((DATE($C$3,11,1)-WEEKDAY(DATE($C$3,11,1),3)+35)),"")</f>
        <v/>
      </c>
      <c r="K39" s="7" t="str">
        <f aca="false">IF(MONTH((DATE($C$3,11,1)-WEEKDAY(DATE($C$3,11,1),3)+36))=11,DAY((DATE($C$3,11,1)-WEEKDAY(DATE($C$3,11,1),3)+36)),"")</f>
        <v/>
      </c>
      <c r="L39" s="7" t="str">
        <f aca="false">IF(MONTH((DATE($C$3,11,1)-WEEKDAY(DATE($C$3,11,1),3)+37))=11,DAY((DATE($C$3,11,1)-WEEKDAY(DATE($C$3,11,1),3)+37)),"")</f>
        <v/>
      </c>
      <c r="M39" s="7" t="str">
        <f aca="false">IF(MONTH((DATE($C$3,11,1)-WEEKDAY(DATE($C$3,11,1),3)+38))=11,DAY((DATE($C$3,11,1)-WEEKDAY(DATE($C$3,11,1),3)+38)),"")</f>
        <v/>
      </c>
      <c r="N39" s="7" t="str">
        <f aca="false">IF(MONTH((DATE($C$3,11,1)-WEEKDAY(DATE($C$3,11,1),3)+39))=11,DAY((DATE($C$3,11,1)-WEEKDAY(DATE($C$3,11,1),3)+39)),"")</f>
        <v/>
      </c>
      <c r="O39" s="8" t="str">
        <f aca="false">IF(MONTH((DATE($C$3,11,1)-WEEKDAY(DATE($C$3,11,1),3)+40))=11,DAY((DATE($C$3,11,1)-WEEKDAY(DATE($C$3,11,1),3)+40)),"")</f>
        <v/>
      </c>
      <c r="P39" s="9" t="str">
        <f aca="false">IF(MONTH((DATE($C$3,11,1)-WEEKDAY(DATE($C$3,11,1),3)+41))=11,DAY((DATE($C$3,11,1)-WEEKDAY(DATE($C$3,11,1),3)+41)),"")</f>
        <v/>
      </c>
      <c r="R39" s="7" t="str">
        <f aca="false">IF(MONTH((DATE($C$3,12,1)-WEEKDAY(DATE($C$3,12,1),3)+35))=12,DAY((DATE($C$3,12,1)-WEEKDAY(DATE($C$3,12,1),3)+35)),"")</f>
        <v/>
      </c>
      <c r="S39" s="7" t="str">
        <f aca="false">IF(MONTH((DATE($C$3,12,1)-WEEKDAY(DATE($C$3,12,1),3)+36))=12,DAY((DATE($C$3,12,1)-WEEKDAY(DATE($C$3,12,1),3)+36)),"")</f>
        <v/>
      </c>
      <c r="T39" s="7" t="str">
        <f aca="false">IF(MONTH((DATE($C$3,12,1)-WEEKDAY(DATE($C$3,12,1),3)+37))=12,DAY((DATE($C$3,12,1)-WEEKDAY(DATE($C$3,12,1),3)+37)),"")</f>
        <v/>
      </c>
      <c r="U39" s="7" t="str">
        <f aca="false">IF(MONTH((DATE($C$3,12,1)-WEEKDAY(DATE($C$3,12,1),3)+38))=12,DAY((DATE($C$3,12,1)-WEEKDAY(DATE($C$3,12,1),3)+38)),"")</f>
        <v/>
      </c>
      <c r="V39" s="7" t="str">
        <f aca="false">IF(MONTH((DATE($C$3,12,1)-WEEKDAY(DATE($C$3,12,1),3)+39))=12,DAY((DATE($C$3,12,1)-WEEKDAY(DATE($C$3,12,1),3)+39)),"")</f>
        <v/>
      </c>
      <c r="W39" s="8" t="str">
        <f aca="false">IF(MONTH((DATE($C$3,12,1)-WEEKDAY(DATE($C$3,12,1),3)+40))=12,DAY((DATE($C$3,12,1)-WEEKDAY(DATE($C$3,12,1),3)+40)),"")</f>
        <v/>
      </c>
      <c r="X39" s="9" t="str">
        <f aca="false">IF(MONTH((DATE($C$3,12,1)-WEEKDAY(DATE($C$3,12,1),3)+41))=12,DAY((DATE($C$3,12,1)-WEEKDAY(DATE($C$3,12,1),3)+41)),"")</f>
        <v/>
      </c>
    </row>
    <row r="41" customFormat="false" ht="15" hidden="false" customHeight="false" outlineLevel="0" collapsed="false">
      <c r="B41" s="10" t="s">
        <v>21</v>
      </c>
    </row>
    <row r="42" customFormat="false" ht="15" hidden="false" customHeight="false" outlineLevel="0" collapsed="false">
      <c r="B42" s="10" t="s">
        <v>22</v>
      </c>
    </row>
  </sheetData>
  <mergeCells count="14">
    <mergeCell ref="B2:H2"/>
    <mergeCell ref="C3:D3"/>
    <mergeCell ref="B5:H5"/>
    <mergeCell ref="J5:P5"/>
    <mergeCell ref="R5:X5"/>
    <mergeCell ref="B14:H14"/>
    <mergeCell ref="J14:P14"/>
    <mergeCell ref="R14:X14"/>
    <mergeCell ref="B23:H23"/>
    <mergeCell ref="J23:P23"/>
    <mergeCell ref="R23:X23"/>
    <mergeCell ref="B32:H32"/>
    <mergeCell ref="J32:P32"/>
    <mergeCell ref="R32:X32"/>
  </mergeCells>
  <printOptions headings="false" gridLines="false" gridLinesSet="true" horizontalCentered="true" verticalCentered="false"/>
  <pageMargins left="0.4" right="0.4" top="0.5" bottom="0.6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19"/>
    <col collapsed="false" customWidth="true" hidden="false" outlineLevel="0" max="9" min="9" style="0" width="2"/>
    <col collapsed="false" customWidth="true" hidden="false" outlineLevel="0" max="10" min="10" style="0" width="32"/>
  </cols>
  <sheetData>
    <row r="2" customFormat="false" ht="39.75" hidden="false" customHeight="true" outlineLevel="0" collapsed="false">
      <c r="B2" s="11" t="str">
        <f aca="false">"ENERO "&amp;'Calendario anual'!$C$3</f>
        <v>ENERO 2027</v>
      </c>
      <c r="C2" s="11"/>
      <c r="D2" s="11"/>
      <c r="E2" s="11"/>
      <c r="F2" s="11"/>
      <c r="G2" s="11"/>
      <c r="H2" s="11"/>
    </row>
    <row r="4" customFormat="false" ht="21.75" hidden="false" customHeight="true" outlineLevel="0" collapsed="false">
      <c r="B4" s="12" t="s">
        <v>23</v>
      </c>
      <c r="C4" s="12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J4" s="13" t="s">
        <v>30</v>
      </c>
    </row>
    <row r="5" customFormat="false" ht="19.5" hidden="false" customHeight="true" outlineLevel="0" collapsed="false">
      <c r="B5" s="14" t="str">
        <f aca="false">IF(MONTH((DATE('Calendario anual'!$C$3,1,1)-WEEKDAY(DATE('Calendario anual'!$C$3,1,1),3)+0))=1,DAY((DATE('Calendario anual'!$C$3,1,1)-WEEKDAY(DATE('Calendario anual'!$C$3,1,1),3)+0)),"")</f>
        <v/>
      </c>
      <c r="C5" s="14" t="str">
        <f aca="false">IF(MONTH((DATE('Calendario anual'!$C$3,1,1)-WEEKDAY(DATE('Calendario anual'!$C$3,1,1),3)+1))=1,DAY((DATE('Calendario anual'!$C$3,1,1)-WEEKDAY(DATE('Calendario anual'!$C$3,1,1),3)+1)),"")</f>
        <v/>
      </c>
      <c r="D5" s="14" t="str">
        <f aca="false">IF(MONTH((DATE('Calendario anual'!$C$3,1,1)-WEEKDAY(DATE('Calendario anual'!$C$3,1,1),3)+2))=1,DAY((DATE('Calendario anual'!$C$3,1,1)-WEEKDAY(DATE('Calendario anual'!$C$3,1,1),3)+2)),"")</f>
        <v/>
      </c>
      <c r="E5" s="14" t="str">
        <f aca="false">IF(MONTH((DATE('Calendario anual'!$C$3,1,1)-WEEKDAY(DATE('Calendario anual'!$C$3,1,1),3)+3))=1,DAY((DATE('Calendario anual'!$C$3,1,1)-WEEKDAY(DATE('Calendario anual'!$C$3,1,1),3)+3)),"")</f>
        <v/>
      </c>
      <c r="F5" s="14" t="n">
        <f aca="false">IF(MONTH((DATE('Calendario anual'!$C$3,1,1)-WEEKDAY(DATE('Calendario anual'!$C$3,1,1),3)+4))=1,DAY((DATE('Calendario anual'!$C$3,1,1)-WEEKDAY(DATE('Calendario anual'!$C$3,1,1),3)+4)),"")</f>
        <v>1</v>
      </c>
      <c r="G5" s="15" t="n">
        <f aca="false">IF(MONTH((DATE('Calendario anual'!$C$3,1,1)-WEEKDAY(DATE('Calendario anual'!$C$3,1,1),3)+5))=1,DAY((DATE('Calendario anual'!$C$3,1,1)-WEEKDAY(DATE('Calendario anual'!$C$3,1,1),3)+5)),"")</f>
        <v>2</v>
      </c>
      <c r="H5" s="16" t="n">
        <f aca="false">IF(MONTH((DATE('Calendario anual'!$C$3,1,1)-WEEKDAY(DATE('Calendario anual'!$C$3,1,1),3)+6))=1,DAY((DATE('Calendario anual'!$C$3,1,1)-WEEKDAY(DATE('Calendario anual'!$C$3,1,1),3)+6)),"")</f>
        <v>3</v>
      </c>
      <c r="J5" s="17"/>
    </row>
    <row r="6" customFormat="false" ht="57.75" hidden="false" customHeight="true" outlineLevel="0" collapsed="false">
      <c r="B6" s="18"/>
      <c r="C6" s="18"/>
      <c r="D6" s="18"/>
      <c r="E6" s="18"/>
      <c r="F6" s="18"/>
      <c r="G6" s="19"/>
      <c r="H6" s="19"/>
      <c r="J6" s="17"/>
    </row>
    <row r="7" customFormat="false" ht="19.5" hidden="false" customHeight="true" outlineLevel="0" collapsed="false">
      <c r="B7" s="14" t="n">
        <f aca="false">IF(MONTH((DATE('Calendario anual'!$C$3,1,1)-WEEKDAY(DATE('Calendario anual'!$C$3,1,1),3)+7))=1,DAY((DATE('Calendario anual'!$C$3,1,1)-WEEKDAY(DATE('Calendario anual'!$C$3,1,1),3)+7)),"")</f>
        <v>4</v>
      </c>
      <c r="C7" s="14" t="n">
        <f aca="false">IF(MONTH((DATE('Calendario anual'!$C$3,1,1)-WEEKDAY(DATE('Calendario anual'!$C$3,1,1),3)+8))=1,DAY((DATE('Calendario anual'!$C$3,1,1)-WEEKDAY(DATE('Calendario anual'!$C$3,1,1),3)+8)),"")</f>
        <v>5</v>
      </c>
      <c r="D7" s="14" t="n">
        <f aca="false">IF(MONTH((DATE('Calendario anual'!$C$3,1,1)-WEEKDAY(DATE('Calendario anual'!$C$3,1,1),3)+9))=1,DAY((DATE('Calendario anual'!$C$3,1,1)-WEEKDAY(DATE('Calendario anual'!$C$3,1,1),3)+9)),"")</f>
        <v>6</v>
      </c>
      <c r="E7" s="14" t="n">
        <f aca="false">IF(MONTH((DATE('Calendario anual'!$C$3,1,1)-WEEKDAY(DATE('Calendario anual'!$C$3,1,1),3)+10))=1,DAY((DATE('Calendario anual'!$C$3,1,1)-WEEKDAY(DATE('Calendario anual'!$C$3,1,1),3)+10)),"")</f>
        <v>7</v>
      </c>
      <c r="F7" s="14" t="n">
        <f aca="false">IF(MONTH((DATE('Calendario anual'!$C$3,1,1)-WEEKDAY(DATE('Calendario anual'!$C$3,1,1),3)+11))=1,DAY((DATE('Calendario anual'!$C$3,1,1)-WEEKDAY(DATE('Calendario anual'!$C$3,1,1),3)+11)),"")</f>
        <v>8</v>
      </c>
      <c r="G7" s="15" t="n">
        <f aca="false">IF(MONTH((DATE('Calendario anual'!$C$3,1,1)-WEEKDAY(DATE('Calendario anual'!$C$3,1,1),3)+12))=1,DAY((DATE('Calendario anual'!$C$3,1,1)-WEEKDAY(DATE('Calendario anual'!$C$3,1,1),3)+12)),"")</f>
        <v>9</v>
      </c>
      <c r="H7" s="16" t="n">
        <f aca="false">IF(MONTH((DATE('Calendario anual'!$C$3,1,1)-WEEKDAY(DATE('Calendario anual'!$C$3,1,1),3)+13))=1,DAY((DATE('Calendario anual'!$C$3,1,1)-WEEKDAY(DATE('Calendario anual'!$C$3,1,1),3)+13)),"")</f>
        <v>10</v>
      </c>
      <c r="J7" s="17"/>
    </row>
    <row r="8" customFormat="false" ht="57.75" hidden="false" customHeight="true" outlineLevel="0" collapsed="false">
      <c r="B8" s="18"/>
      <c r="C8" s="18"/>
      <c r="D8" s="18"/>
      <c r="E8" s="18"/>
      <c r="F8" s="18"/>
      <c r="G8" s="19"/>
      <c r="H8" s="19"/>
      <c r="J8" s="17"/>
    </row>
    <row r="9" customFormat="false" ht="19.5" hidden="false" customHeight="true" outlineLevel="0" collapsed="false">
      <c r="B9" s="14" t="n">
        <f aca="false">IF(MONTH((DATE('Calendario anual'!$C$3,1,1)-WEEKDAY(DATE('Calendario anual'!$C$3,1,1),3)+14))=1,DAY((DATE('Calendario anual'!$C$3,1,1)-WEEKDAY(DATE('Calendario anual'!$C$3,1,1),3)+14)),"")</f>
        <v>11</v>
      </c>
      <c r="C9" s="14" t="n">
        <f aca="false">IF(MONTH((DATE('Calendario anual'!$C$3,1,1)-WEEKDAY(DATE('Calendario anual'!$C$3,1,1),3)+15))=1,DAY((DATE('Calendario anual'!$C$3,1,1)-WEEKDAY(DATE('Calendario anual'!$C$3,1,1),3)+15)),"")</f>
        <v>12</v>
      </c>
      <c r="D9" s="14" t="n">
        <f aca="false">IF(MONTH((DATE('Calendario anual'!$C$3,1,1)-WEEKDAY(DATE('Calendario anual'!$C$3,1,1),3)+16))=1,DAY((DATE('Calendario anual'!$C$3,1,1)-WEEKDAY(DATE('Calendario anual'!$C$3,1,1),3)+16)),"")</f>
        <v>13</v>
      </c>
      <c r="E9" s="14" t="n">
        <f aca="false">IF(MONTH((DATE('Calendario anual'!$C$3,1,1)-WEEKDAY(DATE('Calendario anual'!$C$3,1,1),3)+17))=1,DAY((DATE('Calendario anual'!$C$3,1,1)-WEEKDAY(DATE('Calendario anual'!$C$3,1,1),3)+17)),"")</f>
        <v>14</v>
      </c>
      <c r="F9" s="14" t="n">
        <f aca="false">IF(MONTH((DATE('Calendario anual'!$C$3,1,1)-WEEKDAY(DATE('Calendario anual'!$C$3,1,1),3)+18))=1,DAY((DATE('Calendario anual'!$C$3,1,1)-WEEKDAY(DATE('Calendario anual'!$C$3,1,1),3)+18)),"")</f>
        <v>15</v>
      </c>
      <c r="G9" s="15" t="n">
        <f aca="false">IF(MONTH((DATE('Calendario anual'!$C$3,1,1)-WEEKDAY(DATE('Calendario anual'!$C$3,1,1),3)+19))=1,DAY((DATE('Calendario anual'!$C$3,1,1)-WEEKDAY(DATE('Calendario anual'!$C$3,1,1),3)+19)),"")</f>
        <v>16</v>
      </c>
      <c r="H9" s="16" t="n">
        <f aca="false">IF(MONTH((DATE('Calendario anual'!$C$3,1,1)-WEEKDAY(DATE('Calendario anual'!$C$3,1,1),3)+20))=1,DAY((DATE('Calendario anual'!$C$3,1,1)-WEEKDAY(DATE('Calendario anual'!$C$3,1,1),3)+20)),"")</f>
        <v>17</v>
      </c>
      <c r="J9" s="17"/>
    </row>
    <row r="10" customFormat="false" ht="57.75" hidden="false" customHeight="true" outlineLevel="0" collapsed="false">
      <c r="B10" s="18"/>
      <c r="C10" s="18"/>
      <c r="D10" s="18"/>
      <c r="E10" s="18"/>
      <c r="F10" s="18"/>
      <c r="G10" s="19"/>
      <c r="H10" s="19"/>
      <c r="J10" s="17"/>
    </row>
    <row r="11" customFormat="false" ht="19.5" hidden="false" customHeight="true" outlineLevel="0" collapsed="false">
      <c r="B11" s="14" t="n">
        <f aca="false">IF(MONTH((DATE('Calendario anual'!$C$3,1,1)-WEEKDAY(DATE('Calendario anual'!$C$3,1,1),3)+21))=1,DAY((DATE('Calendario anual'!$C$3,1,1)-WEEKDAY(DATE('Calendario anual'!$C$3,1,1),3)+21)),"")</f>
        <v>18</v>
      </c>
      <c r="C11" s="14" t="n">
        <f aca="false">IF(MONTH((DATE('Calendario anual'!$C$3,1,1)-WEEKDAY(DATE('Calendario anual'!$C$3,1,1),3)+22))=1,DAY((DATE('Calendario anual'!$C$3,1,1)-WEEKDAY(DATE('Calendario anual'!$C$3,1,1),3)+22)),"")</f>
        <v>19</v>
      </c>
      <c r="D11" s="14" t="n">
        <f aca="false">IF(MONTH((DATE('Calendario anual'!$C$3,1,1)-WEEKDAY(DATE('Calendario anual'!$C$3,1,1),3)+23))=1,DAY((DATE('Calendario anual'!$C$3,1,1)-WEEKDAY(DATE('Calendario anual'!$C$3,1,1),3)+23)),"")</f>
        <v>20</v>
      </c>
      <c r="E11" s="14" t="n">
        <f aca="false">IF(MONTH((DATE('Calendario anual'!$C$3,1,1)-WEEKDAY(DATE('Calendario anual'!$C$3,1,1),3)+24))=1,DAY((DATE('Calendario anual'!$C$3,1,1)-WEEKDAY(DATE('Calendario anual'!$C$3,1,1),3)+24)),"")</f>
        <v>21</v>
      </c>
      <c r="F11" s="14" t="n">
        <f aca="false">IF(MONTH((DATE('Calendario anual'!$C$3,1,1)-WEEKDAY(DATE('Calendario anual'!$C$3,1,1),3)+25))=1,DAY((DATE('Calendario anual'!$C$3,1,1)-WEEKDAY(DATE('Calendario anual'!$C$3,1,1),3)+25)),"")</f>
        <v>22</v>
      </c>
      <c r="G11" s="15" t="n">
        <f aca="false">IF(MONTH((DATE('Calendario anual'!$C$3,1,1)-WEEKDAY(DATE('Calendario anual'!$C$3,1,1),3)+26))=1,DAY((DATE('Calendario anual'!$C$3,1,1)-WEEKDAY(DATE('Calendario anual'!$C$3,1,1),3)+26)),"")</f>
        <v>23</v>
      </c>
      <c r="H11" s="16" t="n">
        <f aca="false">IF(MONTH((DATE('Calendario anual'!$C$3,1,1)-WEEKDAY(DATE('Calendario anual'!$C$3,1,1),3)+27))=1,DAY((DATE('Calendario anual'!$C$3,1,1)-WEEKDAY(DATE('Calendario anual'!$C$3,1,1),3)+27)),"")</f>
        <v>24</v>
      </c>
      <c r="J11" s="17"/>
    </row>
    <row r="12" customFormat="false" ht="57.75" hidden="false" customHeight="true" outlineLevel="0" collapsed="false">
      <c r="B12" s="18"/>
      <c r="C12" s="18"/>
      <c r="D12" s="18"/>
      <c r="E12" s="18"/>
      <c r="F12" s="18"/>
      <c r="G12" s="19"/>
      <c r="H12" s="19"/>
      <c r="J12" s="17"/>
    </row>
    <row r="13" customFormat="false" ht="19.5" hidden="false" customHeight="true" outlineLevel="0" collapsed="false">
      <c r="B13" s="14" t="n">
        <f aca="false">IF(MONTH((DATE('Calendario anual'!$C$3,1,1)-WEEKDAY(DATE('Calendario anual'!$C$3,1,1),3)+28))=1,DAY((DATE('Calendario anual'!$C$3,1,1)-WEEKDAY(DATE('Calendario anual'!$C$3,1,1),3)+28)),"")</f>
        <v>25</v>
      </c>
      <c r="C13" s="14" t="n">
        <f aca="false">IF(MONTH((DATE('Calendario anual'!$C$3,1,1)-WEEKDAY(DATE('Calendario anual'!$C$3,1,1),3)+29))=1,DAY((DATE('Calendario anual'!$C$3,1,1)-WEEKDAY(DATE('Calendario anual'!$C$3,1,1),3)+29)),"")</f>
        <v>26</v>
      </c>
      <c r="D13" s="14" t="n">
        <f aca="false">IF(MONTH((DATE('Calendario anual'!$C$3,1,1)-WEEKDAY(DATE('Calendario anual'!$C$3,1,1),3)+30))=1,DAY((DATE('Calendario anual'!$C$3,1,1)-WEEKDAY(DATE('Calendario anual'!$C$3,1,1),3)+30)),"")</f>
        <v>27</v>
      </c>
      <c r="E13" s="14" t="n">
        <f aca="false">IF(MONTH((DATE('Calendario anual'!$C$3,1,1)-WEEKDAY(DATE('Calendario anual'!$C$3,1,1),3)+31))=1,DAY((DATE('Calendario anual'!$C$3,1,1)-WEEKDAY(DATE('Calendario anual'!$C$3,1,1),3)+31)),"")</f>
        <v>28</v>
      </c>
      <c r="F13" s="14" t="n">
        <f aca="false">IF(MONTH((DATE('Calendario anual'!$C$3,1,1)-WEEKDAY(DATE('Calendario anual'!$C$3,1,1),3)+32))=1,DAY((DATE('Calendario anual'!$C$3,1,1)-WEEKDAY(DATE('Calendario anual'!$C$3,1,1),3)+32)),"")</f>
        <v>29</v>
      </c>
      <c r="G13" s="15" t="n">
        <f aca="false">IF(MONTH((DATE('Calendario anual'!$C$3,1,1)-WEEKDAY(DATE('Calendario anual'!$C$3,1,1),3)+33))=1,DAY((DATE('Calendario anual'!$C$3,1,1)-WEEKDAY(DATE('Calendario anual'!$C$3,1,1),3)+33)),"")</f>
        <v>30</v>
      </c>
      <c r="H13" s="16" t="n">
        <f aca="false">IF(MONTH((DATE('Calendario anual'!$C$3,1,1)-WEEKDAY(DATE('Calendario anual'!$C$3,1,1),3)+34))=1,DAY((DATE('Calendario anual'!$C$3,1,1)-WEEKDAY(DATE('Calendario anual'!$C$3,1,1),3)+34)),"")</f>
        <v>31</v>
      </c>
      <c r="J13" s="17"/>
    </row>
    <row r="14" customFormat="false" ht="57.75" hidden="false" customHeight="true" outlineLevel="0" collapsed="false">
      <c r="B14" s="18"/>
      <c r="C14" s="18"/>
      <c r="D14" s="18"/>
      <c r="E14" s="18"/>
      <c r="F14" s="18"/>
      <c r="G14" s="19"/>
      <c r="H14" s="19"/>
      <c r="J14" s="17"/>
    </row>
    <row r="15" customFormat="false" ht="19.5" hidden="false" customHeight="true" outlineLevel="0" collapsed="false">
      <c r="B15" s="14" t="str">
        <f aca="false">IF(MONTH((DATE('Calendario anual'!$C$3,1,1)-WEEKDAY(DATE('Calendario anual'!$C$3,1,1),3)+35))=1,DAY((DATE('Calendario anual'!$C$3,1,1)-WEEKDAY(DATE('Calendario anual'!$C$3,1,1),3)+35)),"")</f>
        <v/>
      </c>
      <c r="C15" s="14" t="str">
        <f aca="false">IF(MONTH((DATE('Calendario anual'!$C$3,1,1)-WEEKDAY(DATE('Calendario anual'!$C$3,1,1),3)+36))=1,DAY((DATE('Calendario anual'!$C$3,1,1)-WEEKDAY(DATE('Calendario anual'!$C$3,1,1),3)+36)),"")</f>
        <v/>
      </c>
      <c r="D15" s="14" t="str">
        <f aca="false">IF(MONTH((DATE('Calendario anual'!$C$3,1,1)-WEEKDAY(DATE('Calendario anual'!$C$3,1,1),3)+37))=1,DAY((DATE('Calendario anual'!$C$3,1,1)-WEEKDAY(DATE('Calendario anual'!$C$3,1,1),3)+37)),"")</f>
        <v/>
      </c>
      <c r="E15" s="14" t="str">
        <f aca="false">IF(MONTH((DATE('Calendario anual'!$C$3,1,1)-WEEKDAY(DATE('Calendario anual'!$C$3,1,1),3)+38))=1,DAY((DATE('Calendario anual'!$C$3,1,1)-WEEKDAY(DATE('Calendario anual'!$C$3,1,1),3)+38)),"")</f>
        <v/>
      </c>
      <c r="F15" s="14" t="str">
        <f aca="false">IF(MONTH((DATE('Calendario anual'!$C$3,1,1)-WEEKDAY(DATE('Calendario anual'!$C$3,1,1),3)+39))=1,DAY((DATE('Calendario anual'!$C$3,1,1)-WEEKDAY(DATE('Calendario anual'!$C$3,1,1),3)+39)),"")</f>
        <v/>
      </c>
      <c r="G15" s="15" t="str">
        <f aca="false">IF(MONTH((DATE('Calendario anual'!$C$3,1,1)-WEEKDAY(DATE('Calendario anual'!$C$3,1,1),3)+40))=1,DAY((DATE('Calendario anual'!$C$3,1,1)-WEEKDAY(DATE('Calendario anual'!$C$3,1,1),3)+40)),"")</f>
        <v/>
      </c>
      <c r="H15" s="16" t="str">
        <f aca="false">IF(MONTH((DATE('Calendario anual'!$C$3,1,1)-WEEKDAY(DATE('Calendario anual'!$C$3,1,1),3)+41))=1,DAY((DATE('Calendario anual'!$C$3,1,1)-WEEKDAY(DATE('Calendario anual'!$C$3,1,1),3)+41)),"")</f>
        <v/>
      </c>
      <c r="J15" s="17"/>
    </row>
    <row r="16" customFormat="false" ht="57.75" hidden="false" customHeight="true" outlineLevel="0" collapsed="false">
      <c r="B16" s="18"/>
      <c r="C16" s="18"/>
      <c r="D16" s="18"/>
      <c r="E16" s="18"/>
      <c r="F16" s="18"/>
      <c r="G16" s="19"/>
      <c r="H16" s="19"/>
      <c r="J16" s="17"/>
    </row>
    <row r="18" customFormat="false" ht="15" hidden="false" customHeight="false" outlineLevel="0" collapsed="false">
      <c r="B18" s="10" t="s">
        <v>21</v>
      </c>
    </row>
  </sheetData>
  <mergeCells count="1">
    <mergeCell ref="B2:H2"/>
  </mergeCells>
  <printOptions headings="false" gridLines="false" gridLinesSet="true" horizontalCentered="true" verticalCentered="false"/>
  <pageMargins left="0.35" right="0.35" top="0.4" bottom="0.55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19"/>
    <col collapsed="false" customWidth="true" hidden="false" outlineLevel="0" max="9" min="9" style="0" width="2"/>
    <col collapsed="false" customWidth="true" hidden="false" outlineLevel="0" max="10" min="10" style="0" width="32"/>
  </cols>
  <sheetData>
    <row r="2" customFormat="false" ht="39.75" hidden="false" customHeight="true" outlineLevel="0" collapsed="false">
      <c r="B2" s="11" t="str">
        <f aca="false">"FEBRERO "&amp;'Calendario anual'!$C$3</f>
        <v>FEBRERO 2027</v>
      </c>
      <c r="C2" s="11"/>
      <c r="D2" s="11"/>
      <c r="E2" s="11"/>
      <c r="F2" s="11"/>
      <c r="G2" s="11"/>
      <c r="H2" s="11"/>
    </row>
    <row r="4" customFormat="false" ht="21.75" hidden="false" customHeight="true" outlineLevel="0" collapsed="false">
      <c r="B4" s="12" t="s">
        <v>23</v>
      </c>
      <c r="C4" s="12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J4" s="13" t="s">
        <v>30</v>
      </c>
    </row>
    <row r="5" customFormat="false" ht="19.5" hidden="false" customHeight="true" outlineLevel="0" collapsed="false">
      <c r="B5" s="14" t="n">
        <f aca="false">IF(MONTH((DATE('Calendario anual'!$C$3,2,1)-WEEKDAY(DATE('Calendario anual'!$C$3,2,1),3)+0))=2,DAY((DATE('Calendario anual'!$C$3,2,1)-WEEKDAY(DATE('Calendario anual'!$C$3,2,1),3)+0)),"")</f>
        <v>1</v>
      </c>
      <c r="C5" s="14" t="n">
        <f aca="false">IF(MONTH((DATE('Calendario anual'!$C$3,2,1)-WEEKDAY(DATE('Calendario anual'!$C$3,2,1),3)+1))=2,DAY((DATE('Calendario anual'!$C$3,2,1)-WEEKDAY(DATE('Calendario anual'!$C$3,2,1),3)+1)),"")</f>
        <v>2</v>
      </c>
      <c r="D5" s="14" t="n">
        <f aca="false">IF(MONTH((DATE('Calendario anual'!$C$3,2,1)-WEEKDAY(DATE('Calendario anual'!$C$3,2,1),3)+2))=2,DAY((DATE('Calendario anual'!$C$3,2,1)-WEEKDAY(DATE('Calendario anual'!$C$3,2,1),3)+2)),"")</f>
        <v>3</v>
      </c>
      <c r="E5" s="14" t="n">
        <f aca="false">IF(MONTH((DATE('Calendario anual'!$C$3,2,1)-WEEKDAY(DATE('Calendario anual'!$C$3,2,1),3)+3))=2,DAY((DATE('Calendario anual'!$C$3,2,1)-WEEKDAY(DATE('Calendario anual'!$C$3,2,1),3)+3)),"")</f>
        <v>4</v>
      </c>
      <c r="F5" s="14" t="n">
        <f aca="false">IF(MONTH((DATE('Calendario anual'!$C$3,2,1)-WEEKDAY(DATE('Calendario anual'!$C$3,2,1),3)+4))=2,DAY((DATE('Calendario anual'!$C$3,2,1)-WEEKDAY(DATE('Calendario anual'!$C$3,2,1),3)+4)),"")</f>
        <v>5</v>
      </c>
      <c r="G5" s="15" t="n">
        <f aca="false">IF(MONTH((DATE('Calendario anual'!$C$3,2,1)-WEEKDAY(DATE('Calendario anual'!$C$3,2,1),3)+5))=2,DAY((DATE('Calendario anual'!$C$3,2,1)-WEEKDAY(DATE('Calendario anual'!$C$3,2,1),3)+5)),"")</f>
        <v>6</v>
      </c>
      <c r="H5" s="16" t="n">
        <f aca="false">IF(MONTH((DATE('Calendario anual'!$C$3,2,1)-WEEKDAY(DATE('Calendario anual'!$C$3,2,1),3)+6))=2,DAY((DATE('Calendario anual'!$C$3,2,1)-WEEKDAY(DATE('Calendario anual'!$C$3,2,1),3)+6)),"")</f>
        <v>7</v>
      </c>
      <c r="J5" s="17"/>
    </row>
    <row r="6" customFormat="false" ht="57.75" hidden="false" customHeight="true" outlineLevel="0" collapsed="false">
      <c r="B6" s="18"/>
      <c r="C6" s="18"/>
      <c r="D6" s="18"/>
      <c r="E6" s="18"/>
      <c r="F6" s="18"/>
      <c r="G6" s="19"/>
      <c r="H6" s="19"/>
      <c r="J6" s="17"/>
    </row>
    <row r="7" customFormat="false" ht="19.5" hidden="false" customHeight="true" outlineLevel="0" collapsed="false">
      <c r="B7" s="14" t="n">
        <f aca="false">IF(MONTH((DATE('Calendario anual'!$C$3,2,1)-WEEKDAY(DATE('Calendario anual'!$C$3,2,1),3)+7))=2,DAY((DATE('Calendario anual'!$C$3,2,1)-WEEKDAY(DATE('Calendario anual'!$C$3,2,1),3)+7)),"")</f>
        <v>8</v>
      </c>
      <c r="C7" s="14" t="n">
        <f aca="false">IF(MONTH((DATE('Calendario anual'!$C$3,2,1)-WEEKDAY(DATE('Calendario anual'!$C$3,2,1),3)+8))=2,DAY((DATE('Calendario anual'!$C$3,2,1)-WEEKDAY(DATE('Calendario anual'!$C$3,2,1),3)+8)),"")</f>
        <v>9</v>
      </c>
      <c r="D7" s="14" t="n">
        <f aca="false">IF(MONTH((DATE('Calendario anual'!$C$3,2,1)-WEEKDAY(DATE('Calendario anual'!$C$3,2,1),3)+9))=2,DAY((DATE('Calendario anual'!$C$3,2,1)-WEEKDAY(DATE('Calendario anual'!$C$3,2,1),3)+9)),"")</f>
        <v>10</v>
      </c>
      <c r="E7" s="14" t="n">
        <f aca="false">IF(MONTH((DATE('Calendario anual'!$C$3,2,1)-WEEKDAY(DATE('Calendario anual'!$C$3,2,1),3)+10))=2,DAY((DATE('Calendario anual'!$C$3,2,1)-WEEKDAY(DATE('Calendario anual'!$C$3,2,1),3)+10)),"")</f>
        <v>11</v>
      </c>
      <c r="F7" s="14" t="n">
        <f aca="false">IF(MONTH((DATE('Calendario anual'!$C$3,2,1)-WEEKDAY(DATE('Calendario anual'!$C$3,2,1),3)+11))=2,DAY((DATE('Calendario anual'!$C$3,2,1)-WEEKDAY(DATE('Calendario anual'!$C$3,2,1),3)+11)),"")</f>
        <v>12</v>
      </c>
      <c r="G7" s="15" t="n">
        <f aca="false">IF(MONTH((DATE('Calendario anual'!$C$3,2,1)-WEEKDAY(DATE('Calendario anual'!$C$3,2,1),3)+12))=2,DAY((DATE('Calendario anual'!$C$3,2,1)-WEEKDAY(DATE('Calendario anual'!$C$3,2,1),3)+12)),"")</f>
        <v>13</v>
      </c>
      <c r="H7" s="16" t="n">
        <f aca="false">IF(MONTH((DATE('Calendario anual'!$C$3,2,1)-WEEKDAY(DATE('Calendario anual'!$C$3,2,1),3)+13))=2,DAY((DATE('Calendario anual'!$C$3,2,1)-WEEKDAY(DATE('Calendario anual'!$C$3,2,1),3)+13)),"")</f>
        <v>14</v>
      </c>
      <c r="J7" s="17"/>
    </row>
    <row r="8" customFormat="false" ht="57.75" hidden="false" customHeight="true" outlineLevel="0" collapsed="false">
      <c r="B8" s="18"/>
      <c r="C8" s="18"/>
      <c r="D8" s="18"/>
      <c r="E8" s="18"/>
      <c r="F8" s="18"/>
      <c r="G8" s="19"/>
      <c r="H8" s="19"/>
      <c r="J8" s="17"/>
    </row>
    <row r="9" customFormat="false" ht="19.5" hidden="false" customHeight="true" outlineLevel="0" collapsed="false">
      <c r="B9" s="14" t="n">
        <f aca="false">IF(MONTH((DATE('Calendario anual'!$C$3,2,1)-WEEKDAY(DATE('Calendario anual'!$C$3,2,1),3)+14))=2,DAY((DATE('Calendario anual'!$C$3,2,1)-WEEKDAY(DATE('Calendario anual'!$C$3,2,1),3)+14)),"")</f>
        <v>15</v>
      </c>
      <c r="C9" s="14" t="n">
        <f aca="false">IF(MONTH((DATE('Calendario anual'!$C$3,2,1)-WEEKDAY(DATE('Calendario anual'!$C$3,2,1),3)+15))=2,DAY((DATE('Calendario anual'!$C$3,2,1)-WEEKDAY(DATE('Calendario anual'!$C$3,2,1),3)+15)),"")</f>
        <v>16</v>
      </c>
      <c r="D9" s="14" t="n">
        <f aca="false">IF(MONTH((DATE('Calendario anual'!$C$3,2,1)-WEEKDAY(DATE('Calendario anual'!$C$3,2,1),3)+16))=2,DAY((DATE('Calendario anual'!$C$3,2,1)-WEEKDAY(DATE('Calendario anual'!$C$3,2,1),3)+16)),"")</f>
        <v>17</v>
      </c>
      <c r="E9" s="14" t="n">
        <f aca="false">IF(MONTH((DATE('Calendario anual'!$C$3,2,1)-WEEKDAY(DATE('Calendario anual'!$C$3,2,1),3)+17))=2,DAY((DATE('Calendario anual'!$C$3,2,1)-WEEKDAY(DATE('Calendario anual'!$C$3,2,1),3)+17)),"")</f>
        <v>18</v>
      </c>
      <c r="F9" s="14" t="n">
        <f aca="false">IF(MONTH((DATE('Calendario anual'!$C$3,2,1)-WEEKDAY(DATE('Calendario anual'!$C$3,2,1),3)+18))=2,DAY((DATE('Calendario anual'!$C$3,2,1)-WEEKDAY(DATE('Calendario anual'!$C$3,2,1),3)+18)),"")</f>
        <v>19</v>
      </c>
      <c r="G9" s="15" t="n">
        <f aca="false">IF(MONTH((DATE('Calendario anual'!$C$3,2,1)-WEEKDAY(DATE('Calendario anual'!$C$3,2,1),3)+19))=2,DAY((DATE('Calendario anual'!$C$3,2,1)-WEEKDAY(DATE('Calendario anual'!$C$3,2,1),3)+19)),"")</f>
        <v>20</v>
      </c>
      <c r="H9" s="16" t="n">
        <f aca="false">IF(MONTH((DATE('Calendario anual'!$C$3,2,1)-WEEKDAY(DATE('Calendario anual'!$C$3,2,1),3)+20))=2,DAY((DATE('Calendario anual'!$C$3,2,1)-WEEKDAY(DATE('Calendario anual'!$C$3,2,1),3)+20)),"")</f>
        <v>21</v>
      </c>
      <c r="J9" s="17"/>
    </row>
    <row r="10" customFormat="false" ht="57.75" hidden="false" customHeight="true" outlineLevel="0" collapsed="false">
      <c r="B10" s="18"/>
      <c r="C10" s="18"/>
      <c r="D10" s="18"/>
      <c r="E10" s="18"/>
      <c r="F10" s="18"/>
      <c r="G10" s="19"/>
      <c r="H10" s="19"/>
      <c r="J10" s="17"/>
    </row>
    <row r="11" customFormat="false" ht="19.5" hidden="false" customHeight="true" outlineLevel="0" collapsed="false">
      <c r="B11" s="14" t="n">
        <f aca="false">IF(MONTH((DATE('Calendario anual'!$C$3,2,1)-WEEKDAY(DATE('Calendario anual'!$C$3,2,1),3)+21))=2,DAY((DATE('Calendario anual'!$C$3,2,1)-WEEKDAY(DATE('Calendario anual'!$C$3,2,1),3)+21)),"")</f>
        <v>22</v>
      </c>
      <c r="C11" s="14" t="n">
        <f aca="false">IF(MONTH((DATE('Calendario anual'!$C$3,2,1)-WEEKDAY(DATE('Calendario anual'!$C$3,2,1),3)+22))=2,DAY((DATE('Calendario anual'!$C$3,2,1)-WEEKDAY(DATE('Calendario anual'!$C$3,2,1),3)+22)),"")</f>
        <v>23</v>
      </c>
      <c r="D11" s="14" t="n">
        <f aca="false">IF(MONTH((DATE('Calendario anual'!$C$3,2,1)-WEEKDAY(DATE('Calendario anual'!$C$3,2,1),3)+23))=2,DAY((DATE('Calendario anual'!$C$3,2,1)-WEEKDAY(DATE('Calendario anual'!$C$3,2,1),3)+23)),"")</f>
        <v>24</v>
      </c>
      <c r="E11" s="14" t="n">
        <f aca="false">IF(MONTH((DATE('Calendario anual'!$C$3,2,1)-WEEKDAY(DATE('Calendario anual'!$C$3,2,1),3)+24))=2,DAY((DATE('Calendario anual'!$C$3,2,1)-WEEKDAY(DATE('Calendario anual'!$C$3,2,1),3)+24)),"")</f>
        <v>25</v>
      </c>
      <c r="F11" s="14" t="n">
        <f aca="false">IF(MONTH((DATE('Calendario anual'!$C$3,2,1)-WEEKDAY(DATE('Calendario anual'!$C$3,2,1),3)+25))=2,DAY((DATE('Calendario anual'!$C$3,2,1)-WEEKDAY(DATE('Calendario anual'!$C$3,2,1),3)+25)),"")</f>
        <v>26</v>
      </c>
      <c r="G11" s="15" t="n">
        <f aca="false">IF(MONTH((DATE('Calendario anual'!$C$3,2,1)-WEEKDAY(DATE('Calendario anual'!$C$3,2,1),3)+26))=2,DAY((DATE('Calendario anual'!$C$3,2,1)-WEEKDAY(DATE('Calendario anual'!$C$3,2,1),3)+26)),"")</f>
        <v>27</v>
      </c>
      <c r="H11" s="16" t="n">
        <f aca="false">IF(MONTH((DATE('Calendario anual'!$C$3,2,1)-WEEKDAY(DATE('Calendario anual'!$C$3,2,1),3)+27))=2,DAY((DATE('Calendario anual'!$C$3,2,1)-WEEKDAY(DATE('Calendario anual'!$C$3,2,1),3)+27)),"")</f>
        <v>28</v>
      </c>
      <c r="J11" s="17"/>
    </row>
    <row r="12" customFormat="false" ht="57.75" hidden="false" customHeight="true" outlineLevel="0" collapsed="false">
      <c r="B12" s="18"/>
      <c r="C12" s="18"/>
      <c r="D12" s="18"/>
      <c r="E12" s="18"/>
      <c r="F12" s="18"/>
      <c r="G12" s="19"/>
      <c r="H12" s="19"/>
      <c r="J12" s="17"/>
    </row>
    <row r="13" customFormat="false" ht="19.5" hidden="false" customHeight="true" outlineLevel="0" collapsed="false">
      <c r="B13" s="14" t="str">
        <f aca="false">IF(MONTH((DATE('Calendario anual'!$C$3,2,1)-WEEKDAY(DATE('Calendario anual'!$C$3,2,1),3)+28))=2,DAY((DATE('Calendario anual'!$C$3,2,1)-WEEKDAY(DATE('Calendario anual'!$C$3,2,1),3)+28)),"")</f>
        <v/>
      </c>
      <c r="C13" s="14" t="str">
        <f aca="false">IF(MONTH((DATE('Calendario anual'!$C$3,2,1)-WEEKDAY(DATE('Calendario anual'!$C$3,2,1),3)+29))=2,DAY((DATE('Calendario anual'!$C$3,2,1)-WEEKDAY(DATE('Calendario anual'!$C$3,2,1),3)+29)),"")</f>
        <v/>
      </c>
      <c r="D13" s="14" t="str">
        <f aca="false">IF(MONTH((DATE('Calendario anual'!$C$3,2,1)-WEEKDAY(DATE('Calendario anual'!$C$3,2,1),3)+30))=2,DAY((DATE('Calendario anual'!$C$3,2,1)-WEEKDAY(DATE('Calendario anual'!$C$3,2,1),3)+30)),"")</f>
        <v/>
      </c>
      <c r="E13" s="14" t="str">
        <f aca="false">IF(MONTH((DATE('Calendario anual'!$C$3,2,1)-WEEKDAY(DATE('Calendario anual'!$C$3,2,1),3)+31))=2,DAY((DATE('Calendario anual'!$C$3,2,1)-WEEKDAY(DATE('Calendario anual'!$C$3,2,1),3)+31)),"")</f>
        <v/>
      </c>
      <c r="F13" s="14" t="str">
        <f aca="false">IF(MONTH((DATE('Calendario anual'!$C$3,2,1)-WEEKDAY(DATE('Calendario anual'!$C$3,2,1),3)+32))=2,DAY((DATE('Calendario anual'!$C$3,2,1)-WEEKDAY(DATE('Calendario anual'!$C$3,2,1),3)+32)),"")</f>
        <v/>
      </c>
      <c r="G13" s="15" t="str">
        <f aca="false">IF(MONTH((DATE('Calendario anual'!$C$3,2,1)-WEEKDAY(DATE('Calendario anual'!$C$3,2,1),3)+33))=2,DAY((DATE('Calendario anual'!$C$3,2,1)-WEEKDAY(DATE('Calendario anual'!$C$3,2,1),3)+33)),"")</f>
        <v/>
      </c>
      <c r="H13" s="16" t="str">
        <f aca="false">IF(MONTH((DATE('Calendario anual'!$C$3,2,1)-WEEKDAY(DATE('Calendario anual'!$C$3,2,1),3)+34))=2,DAY((DATE('Calendario anual'!$C$3,2,1)-WEEKDAY(DATE('Calendario anual'!$C$3,2,1),3)+34)),"")</f>
        <v/>
      </c>
      <c r="J13" s="17"/>
    </row>
    <row r="14" customFormat="false" ht="57.75" hidden="false" customHeight="true" outlineLevel="0" collapsed="false">
      <c r="B14" s="18"/>
      <c r="C14" s="18"/>
      <c r="D14" s="18"/>
      <c r="E14" s="18"/>
      <c r="F14" s="18"/>
      <c r="G14" s="19"/>
      <c r="H14" s="19"/>
      <c r="J14" s="17"/>
    </row>
    <row r="15" customFormat="false" ht="19.5" hidden="false" customHeight="true" outlineLevel="0" collapsed="false">
      <c r="B15" s="14" t="str">
        <f aca="false">IF(MONTH((DATE('Calendario anual'!$C$3,2,1)-WEEKDAY(DATE('Calendario anual'!$C$3,2,1),3)+35))=2,DAY((DATE('Calendario anual'!$C$3,2,1)-WEEKDAY(DATE('Calendario anual'!$C$3,2,1),3)+35)),"")</f>
        <v/>
      </c>
      <c r="C15" s="14" t="str">
        <f aca="false">IF(MONTH((DATE('Calendario anual'!$C$3,2,1)-WEEKDAY(DATE('Calendario anual'!$C$3,2,1),3)+36))=2,DAY((DATE('Calendario anual'!$C$3,2,1)-WEEKDAY(DATE('Calendario anual'!$C$3,2,1),3)+36)),"")</f>
        <v/>
      </c>
      <c r="D15" s="14" t="str">
        <f aca="false">IF(MONTH((DATE('Calendario anual'!$C$3,2,1)-WEEKDAY(DATE('Calendario anual'!$C$3,2,1),3)+37))=2,DAY((DATE('Calendario anual'!$C$3,2,1)-WEEKDAY(DATE('Calendario anual'!$C$3,2,1),3)+37)),"")</f>
        <v/>
      </c>
      <c r="E15" s="14" t="str">
        <f aca="false">IF(MONTH((DATE('Calendario anual'!$C$3,2,1)-WEEKDAY(DATE('Calendario anual'!$C$3,2,1),3)+38))=2,DAY((DATE('Calendario anual'!$C$3,2,1)-WEEKDAY(DATE('Calendario anual'!$C$3,2,1),3)+38)),"")</f>
        <v/>
      </c>
      <c r="F15" s="14" t="str">
        <f aca="false">IF(MONTH((DATE('Calendario anual'!$C$3,2,1)-WEEKDAY(DATE('Calendario anual'!$C$3,2,1),3)+39))=2,DAY((DATE('Calendario anual'!$C$3,2,1)-WEEKDAY(DATE('Calendario anual'!$C$3,2,1),3)+39)),"")</f>
        <v/>
      </c>
      <c r="G15" s="15" t="str">
        <f aca="false">IF(MONTH((DATE('Calendario anual'!$C$3,2,1)-WEEKDAY(DATE('Calendario anual'!$C$3,2,1),3)+40))=2,DAY((DATE('Calendario anual'!$C$3,2,1)-WEEKDAY(DATE('Calendario anual'!$C$3,2,1),3)+40)),"")</f>
        <v/>
      </c>
      <c r="H15" s="16" t="str">
        <f aca="false">IF(MONTH((DATE('Calendario anual'!$C$3,2,1)-WEEKDAY(DATE('Calendario anual'!$C$3,2,1),3)+41))=2,DAY((DATE('Calendario anual'!$C$3,2,1)-WEEKDAY(DATE('Calendario anual'!$C$3,2,1),3)+41)),"")</f>
        <v/>
      </c>
      <c r="J15" s="17"/>
    </row>
    <row r="16" customFormat="false" ht="57.75" hidden="false" customHeight="true" outlineLevel="0" collapsed="false">
      <c r="B16" s="18"/>
      <c r="C16" s="18"/>
      <c r="D16" s="18"/>
      <c r="E16" s="18"/>
      <c r="F16" s="18"/>
      <c r="G16" s="19"/>
      <c r="H16" s="19"/>
      <c r="J16" s="17"/>
    </row>
    <row r="18" customFormat="false" ht="15" hidden="false" customHeight="false" outlineLevel="0" collapsed="false">
      <c r="B18" s="10" t="s">
        <v>21</v>
      </c>
    </row>
  </sheetData>
  <mergeCells count="1">
    <mergeCell ref="B2:H2"/>
  </mergeCells>
  <printOptions headings="false" gridLines="false" gridLinesSet="true" horizontalCentered="true" verticalCentered="false"/>
  <pageMargins left="0.35" right="0.35" top="0.4" bottom="0.55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19"/>
    <col collapsed="false" customWidth="true" hidden="false" outlineLevel="0" max="9" min="9" style="0" width="2"/>
    <col collapsed="false" customWidth="true" hidden="false" outlineLevel="0" max="10" min="10" style="0" width="32"/>
  </cols>
  <sheetData>
    <row r="2" customFormat="false" ht="39.75" hidden="false" customHeight="true" outlineLevel="0" collapsed="false">
      <c r="B2" s="11" t="str">
        <f aca="false">"MARZO "&amp;'Calendario anual'!$C$3</f>
        <v>MARZO 2027</v>
      </c>
      <c r="C2" s="11"/>
      <c r="D2" s="11"/>
      <c r="E2" s="11"/>
      <c r="F2" s="11"/>
      <c r="G2" s="11"/>
      <c r="H2" s="11"/>
    </row>
    <row r="4" customFormat="false" ht="21.75" hidden="false" customHeight="true" outlineLevel="0" collapsed="false">
      <c r="B4" s="12" t="s">
        <v>23</v>
      </c>
      <c r="C4" s="12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J4" s="13" t="s">
        <v>30</v>
      </c>
    </row>
    <row r="5" customFormat="false" ht="19.5" hidden="false" customHeight="true" outlineLevel="0" collapsed="false">
      <c r="B5" s="14" t="n">
        <f aca="false">IF(MONTH((DATE('Calendario anual'!$C$3,3,1)-WEEKDAY(DATE('Calendario anual'!$C$3,3,1),3)+0))=3,DAY((DATE('Calendario anual'!$C$3,3,1)-WEEKDAY(DATE('Calendario anual'!$C$3,3,1),3)+0)),"")</f>
        <v>1</v>
      </c>
      <c r="C5" s="14" t="n">
        <f aca="false">IF(MONTH((DATE('Calendario anual'!$C$3,3,1)-WEEKDAY(DATE('Calendario anual'!$C$3,3,1),3)+1))=3,DAY((DATE('Calendario anual'!$C$3,3,1)-WEEKDAY(DATE('Calendario anual'!$C$3,3,1),3)+1)),"")</f>
        <v>2</v>
      </c>
      <c r="D5" s="14" t="n">
        <f aca="false">IF(MONTH((DATE('Calendario anual'!$C$3,3,1)-WEEKDAY(DATE('Calendario anual'!$C$3,3,1),3)+2))=3,DAY((DATE('Calendario anual'!$C$3,3,1)-WEEKDAY(DATE('Calendario anual'!$C$3,3,1),3)+2)),"")</f>
        <v>3</v>
      </c>
      <c r="E5" s="14" t="n">
        <f aca="false">IF(MONTH((DATE('Calendario anual'!$C$3,3,1)-WEEKDAY(DATE('Calendario anual'!$C$3,3,1),3)+3))=3,DAY((DATE('Calendario anual'!$C$3,3,1)-WEEKDAY(DATE('Calendario anual'!$C$3,3,1),3)+3)),"")</f>
        <v>4</v>
      </c>
      <c r="F5" s="14" t="n">
        <f aca="false">IF(MONTH((DATE('Calendario anual'!$C$3,3,1)-WEEKDAY(DATE('Calendario anual'!$C$3,3,1),3)+4))=3,DAY((DATE('Calendario anual'!$C$3,3,1)-WEEKDAY(DATE('Calendario anual'!$C$3,3,1),3)+4)),"")</f>
        <v>5</v>
      </c>
      <c r="G5" s="15" t="n">
        <f aca="false">IF(MONTH((DATE('Calendario anual'!$C$3,3,1)-WEEKDAY(DATE('Calendario anual'!$C$3,3,1),3)+5))=3,DAY((DATE('Calendario anual'!$C$3,3,1)-WEEKDAY(DATE('Calendario anual'!$C$3,3,1),3)+5)),"")</f>
        <v>6</v>
      </c>
      <c r="H5" s="16" t="n">
        <f aca="false">IF(MONTH((DATE('Calendario anual'!$C$3,3,1)-WEEKDAY(DATE('Calendario anual'!$C$3,3,1),3)+6))=3,DAY((DATE('Calendario anual'!$C$3,3,1)-WEEKDAY(DATE('Calendario anual'!$C$3,3,1),3)+6)),"")</f>
        <v>7</v>
      </c>
      <c r="J5" s="17"/>
    </row>
    <row r="6" customFormat="false" ht="57.75" hidden="false" customHeight="true" outlineLevel="0" collapsed="false">
      <c r="B6" s="18"/>
      <c r="C6" s="18"/>
      <c r="D6" s="18"/>
      <c r="E6" s="18"/>
      <c r="F6" s="18"/>
      <c r="G6" s="19"/>
      <c r="H6" s="19"/>
      <c r="J6" s="17"/>
    </row>
    <row r="7" customFormat="false" ht="19.5" hidden="false" customHeight="true" outlineLevel="0" collapsed="false">
      <c r="B7" s="14" t="n">
        <f aca="false">IF(MONTH((DATE('Calendario anual'!$C$3,3,1)-WEEKDAY(DATE('Calendario anual'!$C$3,3,1),3)+7))=3,DAY((DATE('Calendario anual'!$C$3,3,1)-WEEKDAY(DATE('Calendario anual'!$C$3,3,1),3)+7)),"")</f>
        <v>8</v>
      </c>
      <c r="C7" s="14" t="n">
        <f aca="false">IF(MONTH((DATE('Calendario anual'!$C$3,3,1)-WEEKDAY(DATE('Calendario anual'!$C$3,3,1),3)+8))=3,DAY((DATE('Calendario anual'!$C$3,3,1)-WEEKDAY(DATE('Calendario anual'!$C$3,3,1),3)+8)),"")</f>
        <v>9</v>
      </c>
      <c r="D7" s="14" t="n">
        <f aca="false">IF(MONTH((DATE('Calendario anual'!$C$3,3,1)-WEEKDAY(DATE('Calendario anual'!$C$3,3,1),3)+9))=3,DAY((DATE('Calendario anual'!$C$3,3,1)-WEEKDAY(DATE('Calendario anual'!$C$3,3,1),3)+9)),"")</f>
        <v>10</v>
      </c>
      <c r="E7" s="14" t="n">
        <f aca="false">IF(MONTH((DATE('Calendario anual'!$C$3,3,1)-WEEKDAY(DATE('Calendario anual'!$C$3,3,1),3)+10))=3,DAY((DATE('Calendario anual'!$C$3,3,1)-WEEKDAY(DATE('Calendario anual'!$C$3,3,1),3)+10)),"")</f>
        <v>11</v>
      </c>
      <c r="F7" s="14" t="n">
        <f aca="false">IF(MONTH((DATE('Calendario anual'!$C$3,3,1)-WEEKDAY(DATE('Calendario anual'!$C$3,3,1),3)+11))=3,DAY((DATE('Calendario anual'!$C$3,3,1)-WEEKDAY(DATE('Calendario anual'!$C$3,3,1),3)+11)),"")</f>
        <v>12</v>
      </c>
      <c r="G7" s="15" t="n">
        <f aca="false">IF(MONTH((DATE('Calendario anual'!$C$3,3,1)-WEEKDAY(DATE('Calendario anual'!$C$3,3,1),3)+12))=3,DAY((DATE('Calendario anual'!$C$3,3,1)-WEEKDAY(DATE('Calendario anual'!$C$3,3,1),3)+12)),"")</f>
        <v>13</v>
      </c>
      <c r="H7" s="16" t="n">
        <f aca="false">IF(MONTH((DATE('Calendario anual'!$C$3,3,1)-WEEKDAY(DATE('Calendario anual'!$C$3,3,1),3)+13))=3,DAY((DATE('Calendario anual'!$C$3,3,1)-WEEKDAY(DATE('Calendario anual'!$C$3,3,1),3)+13)),"")</f>
        <v>14</v>
      </c>
      <c r="J7" s="17"/>
    </row>
    <row r="8" customFormat="false" ht="57.75" hidden="false" customHeight="true" outlineLevel="0" collapsed="false">
      <c r="B8" s="18"/>
      <c r="C8" s="18"/>
      <c r="D8" s="18"/>
      <c r="E8" s="18"/>
      <c r="F8" s="18"/>
      <c r="G8" s="19"/>
      <c r="H8" s="19"/>
      <c r="J8" s="17"/>
    </row>
    <row r="9" customFormat="false" ht="19.5" hidden="false" customHeight="true" outlineLevel="0" collapsed="false">
      <c r="B9" s="14" t="n">
        <f aca="false">IF(MONTH((DATE('Calendario anual'!$C$3,3,1)-WEEKDAY(DATE('Calendario anual'!$C$3,3,1),3)+14))=3,DAY((DATE('Calendario anual'!$C$3,3,1)-WEEKDAY(DATE('Calendario anual'!$C$3,3,1),3)+14)),"")</f>
        <v>15</v>
      </c>
      <c r="C9" s="14" t="n">
        <f aca="false">IF(MONTH((DATE('Calendario anual'!$C$3,3,1)-WEEKDAY(DATE('Calendario anual'!$C$3,3,1),3)+15))=3,DAY((DATE('Calendario anual'!$C$3,3,1)-WEEKDAY(DATE('Calendario anual'!$C$3,3,1),3)+15)),"")</f>
        <v>16</v>
      </c>
      <c r="D9" s="14" t="n">
        <f aca="false">IF(MONTH((DATE('Calendario anual'!$C$3,3,1)-WEEKDAY(DATE('Calendario anual'!$C$3,3,1),3)+16))=3,DAY((DATE('Calendario anual'!$C$3,3,1)-WEEKDAY(DATE('Calendario anual'!$C$3,3,1),3)+16)),"")</f>
        <v>17</v>
      </c>
      <c r="E9" s="14" t="n">
        <f aca="false">IF(MONTH((DATE('Calendario anual'!$C$3,3,1)-WEEKDAY(DATE('Calendario anual'!$C$3,3,1),3)+17))=3,DAY((DATE('Calendario anual'!$C$3,3,1)-WEEKDAY(DATE('Calendario anual'!$C$3,3,1),3)+17)),"")</f>
        <v>18</v>
      </c>
      <c r="F9" s="14" t="n">
        <f aca="false">IF(MONTH((DATE('Calendario anual'!$C$3,3,1)-WEEKDAY(DATE('Calendario anual'!$C$3,3,1),3)+18))=3,DAY((DATE('Calendario anual'!$C$3,3,1)-WEEKDAY(DATE('Calendario anual'!$C$3,3,1),3)+18)),"")</f>
        <v>19</v>
      </c>
      <c r="G9" s="15" t="n">
        <f aca="false">IF(MONTH((DATE('Calendario anual'!$C$3,3,1)-WEEKDAY(DATE('Calendario anual'!$C$3,3,1),3)+19))=3,DAY((DATE('Calendario anual'!$C$3,3,1)-WEEKDAY(DATE('Calendario anual'!$C$3,3,1),3)+19)),"")</f>
        <v>20</v>
      </c>
      <c r="H9" s="16" t="n">
        <f aca="false">IF(MONTH((DATE('Calendario anual'!$C$3,3,1)-WEEKDAY(DATE('Calendario anual'!$C$3,3,1),3)+20))=3,DAY((DATE('Calendario anual'!$C$3,3,1)-WEEKDAY(DATE('Calendario anual'!$C$3,3,1),3)+20)),"")</f>
        <v>21</v>
      </c>
      <c r="J9" s="17"/>
    </row>
    <row r="10" customFormat="false" ht="57.75" hidden="false" customHeight="true" outlineLevel="0" collapsed="false">
      <c r="B10" s="18"/>
      <c r="C10" s="18"/>
      <c r="D10" s="18"/>
      <c r="E10" s="18"/>
      <c r="F10" s="18"/>
      <c r="G10" s="19"/>
      <c r="H10" s="19"/>
      <c r="J10" s="17"/>
    </row>
    <row r="11" customFormat="false" ht="19.5" hidden="false" customHeight="true" outlineLevel="0" collapsed="false">
      <c r="B11" s="14" t="n">
        <f aca="false">IF(MONTH((DATE('Calendario anual'!$C$3,3,1)-WEEKDAY(DATE('Calendario anual'!$C$3,3,1),3)+21))=3,DAY((DATE('Calendario anual'!$C$3,3,1)-WEEKDAY(DATE('Calendario anual'!$C$3,3,1),3)+21)),"")</f>
        <v>22</v>
      </c>
      <c r="C11" s="14" t="n">
        <f aca="false">IF(MONTH((DATE('Calendario anual'!$C$3,3,1)-WEEKDAY(DATE('Calendario anual'!$C$3,3,1),3)+22))=3,DAY((DATE('Calendario anual'!$C$3,3,1)-WEEKDAY(DATE('Calendario anual'!$C$3,3,1),3)+22)),"")</f>
        <v>23</v>
      </c>
      <c r="D11" s="14" t="n">
        <f aca="false">IF(MONTH((DATE('Calendario anual'!$C$3,3,1)-WEEKDAY(DATE('Calendario anual'!$C$3,3,1),3)+23))=3,DAY((DATE('Calendario anual'!$C$3,3,1)-WEEKDAY(DATE('Calendario anual'!$C$3,3,1),3)+23)),"")</f>
        <v>24</v>
      </c>
      <c r="E11" s="14" t="n">
        <f aca="false">IF(MONTH((DATE('Calendario anual'!$C$3,3,1)-WEEKDAY(DATE('Calendario anual'!$C$3,3,1),3)+24))=3,DAY((DATE('Calendario anual'!$C$3,3,1)-WEEKDAY(DATE('Calendario anual'!$C$3,3,1),3)+24)),"")</f>
        <v>25</v>
      </c>
      <c r="F11" s="14" t="n">
        <f aca="false">IF(MONTH((DATE('Calendario anual'!$C$3,3,1)-WEEKDAY(DATE('Calendario anual'!$C$3,3,1),3)+25))=3,DAY((DATE('Calendario anual'!$C$3,3,1)-WEEKDAY(DATE('Calendario anual'!$C$3,3,1),3)+25)),"")</f>
        <v>26</v>
      </c>
      <c r="G11" s="15" t="n">
        <f aca="false">IF(MONTH((DATE('Calendario anual'!$C$3,3,1)-WEEKDAY(DATE('Calendario anual'!$C$3,3,1),3)+26))=3,DAY((DATE('Calendario anual'!$C$3,3,1)-WEEKDAY(DATE('Calendario anual'!$C$3,3,1),3)+26)),"")</f>
        <v>27</v>
      </c>
      <c r="H11" s="16" t="n">
        <f aca="false">IF(MONTH((DATE('Calendario anual'!$C$3,3,1)-WEEKDAY(DATE('Calendario anual'!$C$3,3,1),3)+27))=3,DAY((DATE('Calendario anual'!$C$3,3,1)-WEEKDAY(DATE('Calendario anual'!$C$3,3,1),3)+27)),"")</f>
        <v>28</v>
      </c>
      <c r="J11" s="17"/>
    </row>
    <row r="12" customFormat="false" ht="57.75" hidden="false" customHeight="true" outlineLevel="0" collapsed="false">
      <c r="B12" s="18"/>
      <c r="C12" s="18"/>
      <c r="D12" s="18"/>
      <c r="E12" s="18"/>
      <c r="F12" s="18"/>
      <c r="G12" s="19"/>
      <c r="H12" s="19"/>
      <c r="J12" s="17"/>
    </row>
    <row r="13" customFormat="false" ht="19.5" hidden="false" customHeight="true" outlineLevel="0" collapsed="false">
      <c r="B13" s="14" t="n">
        <f aca="false">IF(MONTH((DATE('Calendario anual'!$C$3,3,1)-WEEKDAY(DATE('Calendario anual'!$C$3,3,1),3)+28))=3,DAY((DATE('Calendario anual'!$C$3,3,1)-WEEKDAY(DATE('Calendario anual'!$C$3,3,1),3)+28)),"")</f>
        <v>29</v>
      </c>
      <c r="C13" s="14" t="n">
        <f aca="false">IF(MONTH((DATE('Calendario anual'!$C$3,3,1)-WEEKDAY(DATE('Calendario anual'!$C$3,3,1),3)+29))=3,DAY((DATE('Calendario anual'!$C$3,3,1)-WEEKDAY(DATE('Calendario anual'!$C$3,3,1),3)+29)),"")</f>
        <v>30</v>
      </c>
      <c r="D13" s="14" t="n">
        <f aca="false">IF(MONTH((DATE('Calendario anual'!$C$3,3,1)-WEEKDAY(DATE('Calendario anual'!$C$3,3,1),3)+30))=3,DAY((DATE('Calendario anual'!$C$3,3,1)-WEEKDAY(DATE('Calendario anual'!$C$3,3,1),3)+30)),"")</f>
        <v>31</v>
      </c>
      <c r="E13" s="14" t="str">
        <f aca="false">IF(MONTH((DATE('Calendario anual'!$C$3,3,1)-WEEKDAY(DATE('Calendario anual'!$C$3,3,1),3)+31))=3,DAY((DATE('Calendario anual'!$C$3,3,1)-WEEKDAY(DATE('Calendario anual'!$C$3,3,1),3)+31)),"")</f>
        <v/>
      </c>
      <c r="F13" s="14" t="str">
        <f aca="false">IF(MONTH((DATE('Calendario anual'!$C$3,3,1)-WEEKDAY(DATE('Calendario anual'!$C$3,3,1),3)+32))=3,DAY((DATE('Calendario anual'!$C$3,3,1)-WEEKDAY(DATE('Calendario anual'!$C$3,3,1),3)+32)),"")</f>
        <v/>
      </c>
      <c r="G13" s="15" t="str">
        <f aca="false">IF(MONTH((DATE('Calendario anual'!$C$3,3,1)-WEEKDAY(DATE('Calendario anual'!$C$3,3,1),3)+33))=3,DAY((DATE('Calendario anual'!$C$3,3,1)-WEEKDAY(DATE('Calendario anual'!$C$3,3,1),3)+33)),"")</f>
        <v/>
      </c>
      <c r="H13" s="16" t="str">
        <f aca="false">IF(MONTH((DATE('Calendario anual'!$C$3,3,1)-WEEKDAY(DATE('Calendario anual'!$C$3,3,1),3)+34))=3,DAY((DATE('Calendario anual'!$C$3,3,1)-WEEKDAY(DATE('Calendario anual'!$C$3,3,1),3)+34)),"")</f>
        <v/>
      </c>
      <c r="J13" s="17"/>
    </row>
    <row r="14" customFormat="false" ht="57.75" hidden="false" customHeight="true" outlineLevel="0" collapsed="false">
      <c r="B14" s="18"/>
      <c r="C14" s="18"/>
      <c r="D14" s="18"/>
      <c r="E14" s="18"/>
      <c r="F14" s="18"/>
      <c r="G14" s="19"/>
      <c r="H14" s="19"/>
      <c r="J14" s="17"/>
    </row>
    <row r="15" customFormat="false" ht="19.5" hidden="false" customHeight="true" outlineLevel="0" collapsed="false">
      <c r="B15" s="14" t="str">
        <f aca="false">IF(MONTH((DATE('Calendario anual'!$C$3,3,1)-WEEKDAY(DATE('Calendario anual'!$C$3,3,1),3)+35))=3,DAY((DATE('Calendario anual'!$C$3,3,1)-WEEKDAY(DATE('Calendario anual'!$C$3,3,1),3)+35)),"")</f>
        <v/>
      </c>
      <c r="C15" s="14" t="str">
        <f aca="false">IF(MONTH((DATE('Calendario anual'!$C$3,3,1)-WEEKDAY(DATE('Calendario anual'!$C$3,3,1),3)+36))=3,DAY((DATE('Calendario anual'!$C$3,3,1)-WEEKDAY(DATE('Calendario anual'!$C$3,3,1),3)+36)),"")</f>
        <v/>
      </c>
      <c r="D15" s="14" t="str">
        <f aca="false">IF(MONTH((DATE('Calendario anual'!$C$3,3,1)-WEEKDAY(DATE('Calendario anual'!$C$3,3,1),3)+37))=3,DAY((DATE('Calendario anual'!$C$3,3,1)-WEEKDAY(DATE('Calendario anual'!$C$3,3,1),3)+37)),"")</f>
        <v/>
      </c>
      <c r="E15" s="14" t="str">
        <f aca="false">IF(MONTH((DATE('Calendario anual'!$C$3,3,1)-WEEKDAY(DATE('Calendario anual'!$C$3,3,1),3)+38))=3,DAY((DATE('Calendario anual'!$C$3,3,1)-WEEKDAY(DATE('Calendario anual'!$C$3,3,1),3)+38)),"")</f>
        <v/>
      </c>
      <c r="F15" s="14" t="str">
        <f aca="false">IF(MONTH((DATE('Calendario anual'!$C$3,3,1)-WEEKDAY(DATE('Calendario anual'!$C$3,3,1),3)+39))=3,DAY((DATE('Calendario anual'!$C$3,3,1)-WEEKDAY(DATE('Calendario anual'!$C$3,3,1),3)+39)),"")</f>
        <v/>
      </c>
      <c r="G15" s="15" t="str">
        <f aca="false">IF(MONTH((DATE('Calendario anual'!$C$3,3,1)-WEEKDAY(DATE('Calendario anual'!$C$3,3,1),3)+40))=3,DAY((DATE('Calendario anual'!$C$3,3,1)-WEEKDAY(DATE('Calendario anual'!$C$3,3,1),3)+40)),"")</f>
        <v/>
      </c>
      <c r="H15" s="16" t="str">
        <f aca="false">IF(MONTH((DATE('Calendario anual'!$C$3,3,1)-WEEKDAY(DATE('Calendario anual'!$C$3,3,1),3)+41))=3,DAY((DATE('Calendario anual'!$C$3,3,1)-WEEKDAY(DATE('Calendario anual'!$C$3,3,1),3)+41)),"")</f>
        <v/>
      </c>
      <c r="J15" s="17"/>
    </row>
    <row r="16" customFormat="false" ht="57.75" hidden="false" customHeight="true" outlineLevel="0" collapsed="false">
      <c r="B16" s="18"/>
      <c r="C16" s="18"/>
      <c r="D16" s="18"/>
      <c r="E16" s="18"/>
      <c r="F16" s="18"/>
      <c r="G16" s="19"/>
      <c r="H16" s="19"/>
      <c r="J16" s="17"/>
    </row>
    <row r="18" customFormat="false" ht="15" hidden="false" customHeight="false" outlineLevel="0" collapsed="false">
      <c r="B18" s="10" t="s">
        <v>21</v>
      </c>
    </row>
  </sheetData>
  <mergeCells count="1">
    <mergeCell ref="B2:H2"/>
  </mergeCells>
  <printOptions headings="false" gridLines="false" gridLinesSet="true" horizontalCentered="true" verticalCentered="false"/>
  <pageMargins left="0.35" right="0.35" top="0.4" bottom="0.55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19"/>
    <col collapsed="false" customWidth="true" hidden="false" outlineLevel="0" max="9" min="9" style="0" width="2"/>
    <col collapsed="false" customWidth="true" hidden="false" outlineLevel="0" max="10" min="10" style="0" width="32"/>
  </cols>
  <sheetData>
    <row r="2" customFormat="false" ht="39.75" hidden="false" customHeight="true" outlineLevel="0" collapsed="false">
      <c r="B2" s="11" t="str">
        <f aca="false">"ABRIL "&amp;'Calendario anual'!$C$3</f>
        <v>ABRIL 2027</v>
      </c>
      <c r="C2" s="11"/>
      <c r="D2" s="11"/>
      <c r="E2" s="11"/>
      <c r="F2" s="11"/>
      <c r="G2" s="11"/>
      <c r="H2" s="11"/>
    </row>
    <row r="4" customFormat="false" ht="21.75" hidden="false" customHeight="true" outlineLevel="0" collapsed="false">
      <c r="B4" s="12" t="s">
        <v>23</v>
      </c>
      <c r="C4" s="12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J4" s="13" t="s">
        <v>30</v>
      </c>
    </row>
    <row r="5" customFormat="false" ht="19.5" hidden="false" customHeight="true" outlineLevel="0" collapsed="false">
      <c r="B5" s="14" t="str">
        <f aca="false">IF(MONTH((DATE('Calendario anual'!$C$3,4,1)-WEEKDAY(DATE('Calendario anual'!$C$3,4,1),3)+0))=4,DAY((DATE('Calendario anual'!$C$3,4,1)-WEEKDAY(DATE('Calendario anual'!$C$3,4,1),3)+0)),"")</f>
        <v/>
      </c>
      <c r="C5" s="14" t="str">
        <f aca="false">IF(MONTH((DATE('Calendario anual'!$C$3,4,1)-WEEKDAY(DATE('Calendario anual'!$C$3,4,1),3)+1))=4,DAY((DATE('Calendario anual'!$C$3,4,1)-WEEKDAY(DATE('Calendario anual'!$C$3,4,1),3)+1)),"")</f>
        <v/>
      </c>
      <c r="D5" s="14" t="str">
        <f aca="false">IF(MONTH((DATE('Calendario anual'!$C$3,4,1)-WEEKDAY(DATE('Calendario anual'!$C$3,4,1),3)+2))=4,DAY((DATE('Calendario anual'!$C$3,4,1)-WEEKDAY(DATE('Calendario anual'!$C$3,4,1),3)+2)),"")</f>
        <v/>
      </c>
      <c r="E5" s="14" t="n">
        <f aca="false">IF(MONTH((DATE('Calendario anual'!$C$3,4,1)-WEEKDAY(DATE('Calendario anual'!$C$3,4,1),3)+3))=4,DAY((DATE('Calendario anual'!$C$3,4,1)-WEEKDAY(DATE('Calendario anual'!$C$3,4,1),3)+3)),"")</f>
        <v>1</v>
      </c>
      <c r="F5" s="14" t="n">
        <f aca="false">IF(MONTH((DATE('Calendario anual'!$C$3,4,1)-WEEKDAY(DATE('Calendario anual'!$C$3,4,1),3)+4))=4,DAY((DATE('Calendario anual'!$C$3,4,1)-WEEKDAY(DATE('Calendario anual'!$C$3,4,1),3)+4)),"")</f>
        <v>2</v>
      </c>
      <c r="G5" s="15" t="n">
        <f aca="false">IF(MONTH((DATE('Calendario anual'!$C$3,4,1)-WEEKDAY(DATE('Calendario anual'!$C$3,4,1),3)+5))=4,DAY((DATE('Calendario anual'!$C$3,4,1)-WEEKDAY(DATE('Calendario anual'!$C$3,4,1),3)+5)),"")</f>
        <v>3</v>
      </c>
      <c r="H5" s="16" t="n">
        <f aca="false">IF(MONTH((DATE('Calendario anual'!$C$3,4,1)-WEEKDAY(DATE('Calendario anual'!$C$3,4,1),3)+6))=4,DAY((DATE('Calendario anual'!$C$3,4,1)-WEEKDAY(DATE('Calendario anual'!$C$3,4,1),3)+6)),"")</f>
        <v>4</v>
      </c>
      <c r="J5" s="17"/>
    </row>
    <row r="6" customFormat="false" ht="57.75" hidden="false" customHeight="true" outlineLevel="0" collapsed="false">
      <c r="B6" s="18"/>
      <c r="C6" s="18"/>
      <c r="D6" s="18"/>
      <c r="E6" s="18"/>
      <c r="F6" s="18"/>
      <c r="G6" s="19"/>
      <c r="H6" s="19"/>
      <c r="J6" s="17"/>
    </row>
    <row r="7" customFormat="false" ht="19.5" hidden="false" customHeight="true" outlineLevel="0" collapsed="false">
      <c r="B7" s="14" t="n">
        <f aca="false">IF(MONTH((DATE('Calendario anual'!$C$3,4,1)-WEEKDAY(DATE('Calendario anual'!$C$3,4,1),3)+7))=4,DAY((DATE('Calendario anual'!$C$3,4,1)-WEEKDAY(DATE('Calendario anual'!$C$3,4,1),3)+7)),"")</f>
        <v>5</v>
      </c>
      <c r="C7" s="14" t="n">
        <f aca="false">IF(MONTH((DATE('Calendario anual'!$C$3,4,1)-WEEKDAY(DATE('Calendario anual'!$C$3,4,1),3)+8))=4,DAY((DATE('Calendario anual'!$C$3,4,1)-WEEKDAY(DATE('Calendario anual'!$C$3,4,1),3)+8)),"")</f>
        <v>6</v>
      </c>
      <c r="D7" s="14" t="n">
        <f aca="false">IF(MONTH((DATE('Calendario anual'!$C$3,4,1)-WEEKDAY(DATE('Calendario anual'!$C$3,4,1),3)+9))=4,DAY((DATE('Calendario anual'!$C$3,4,1)-WEEKDAY(DATE('Calendario anual'!$C$3,4,1),3)+9)),"")</f>
        <v>7</v>
      </c>
      <c r="E7" s="14" t="n">
        <f aca="false">IF(MONTH((DATE('Calendario anual'!$C$3,4,1)-WEEKDAY(DATE('Calendario anual'!$C$3,4,1),3)+10))=4,DAY((DATE('Calendario anual'!$C$3,4,1)-WEEKDAY(DATE('Calendario anual'!$C$3,4,1),3)+10)),"")</f>
        <v>8</v>
      </c>
      <c r="F7" s="14" t="n">
        <f aca="false">IF(MONTH((DATE('Calendario anual'!$C$3,4,1)-WEEKDAY(DATE('Calendario anual'!$C$3,4,1),3)+11))=4,DAY((DATE('Calendario anual'!$C$3,4,1)-WEEKDAY(DATE('Calendario anual'!$C$3,4,1),3)+11)),"")</f>
        <v>9</v>
      </c>
      <c r="G7" s="15" t="n">
        <f aca="false">IF(MONTH((DATE('Calendario anual'!$C$3,4,1)-WEEKDAY(DATE('Calendario anual'!$C$3,4,1),3)+12))=4,DAY((DATE('Calendario anual'!$C$3,4,1)-WEEKDAY(DATE('Calendario anual'!$C$3,4,1),3)+12)),"")</f>
        <v>10</v>
      </c>
      <c r="H7" s="16" t="n">
        <f aca="false">IF(MONTH((DATE('Calendario anual'!$C$3,4,1)-WEEKDAY(DATE('Calendario anual'!$C$3,4,1),3)+13))=4,DAY((DATE('Calendario anual'!$C$3,4,1)-WEEKDAY(DATE('Calendario anual'!$C$3,4,1),3)+13)),"")</f>
        <v>11</v>
      </c>
      <c r="J7" s="17"/>
    </row>
    <row r="8" customFormat="false" ht="57.75" hidden="false" customHeight="true" outlineLevel="0" collapsed="false">
      <c r="B8" s="18"/>
      <c r="C8" s="18"/>
      <c r="D8" s="18"/>
      <c r="E8" s="18"/>
      <c r="F8" s="18"/>
      <c r="G8" s="19"/>
      <c r="H8" s="19"/>
      <c r="J8" s="17"/>
    </row>
    <row r="9" customFormat="false" ht="19.5" hidden="false" customHeight="true" outlineLevel="0" collapsed="false">
      <c r="B9" s="14" t="n">
        <f aca="false">IF(MONTH((DATE('Calendario anual'!$C$3,4,1)-WEEKDAY(DATE('Calendario anual'!$C$3,4,1),3)+14))=4,DAY((DATE('Calendario anual'!$C$3,4,1)-WEEKDAY(DATE('Calendario anual'!$C$3,4,1),3)+14)),"")</f>
        <v>12</v>
      </c>
      <c r="C9" s="14" t="n">
        <f aca="false">IF(MONTH((DATE('Calendario anual'!$C$3,4,1)-WEEKDAY(DATE('Calendario anual'!$C$3,4,1),3)+15))=4,DAY((DATE('Calendario anual'!$C$3,4,1)-WEEKDAY(DATE('Calendario anual'!$C$3,4,1),3)+15)),"")</f>
        <v>13</v>
      </c>
      <c r="D9" s="14" t="n">
        <f aca="false">IF(MONTH((DATE('Calendario anual'!$C$3,4,1)-WEEKDAY(DATE('Calendario anual'!$C$3,4,1),3)+16))=4,DAY((DATE('Calendario anual'!$C$3,4,1)-WEEKDAY(DATE('Calendario anual'!$C$3,4,1),3)+16)),"")</f>
        <v>14</v>
      </c>
      <c r="E9" s="14" t="n">
        <f aca="false">IF(MONTH((DATE('Calendario anual'!$C$3,4,1)-WEEKDAY(DATE('Calendario anual'!$C$3,4,1),3)+17))=4,DAY((DATE('Calendario anual'!$C$3,4,1)-WEEKDAY(DATE('Calendario anual'!$C$3,4,1),3)+17)),"")</f>
        <v>15</v>
      </c>
      <c r="F9" s="14" t="n">
        <f aca="false">IF(MONTH((DATE('Calendario anual'!$C$3,4,1)-WEEKDAY(DATE('Calendario anual'!$C$3,4,1),3)+18))=4,DAY((DATE('Calendario anual'!$C$3,4,1)-WEEKDAY(DATE('Calendario anual'!$C$3,4,1),3)+18)),"")</f>
        <v>16</v>
      </c>
      <c r="G9" s="15" t="n">
        <f aca="false">IF(MONTH((DATE('Calendario anual'!$C$3,4,1)-WEEKDAY(DATE('Calendario anual'!$C$3,4,1),3)+19))=4,DAY((DATE('Calendario anual'!$C$3,4,1)-WEEKDAY(DATE('Calendario anual'!$C$3,4,1),3)+19)),"")</f>
        <v>17</v>
      </c>
      <c r="H9" s="16" t="n">
        <f aca="false">IF(MONTH((DATE('Calendario anual'!$C$3,4,1)-WEEKDAY(DATE('Calendario anual'!$C$3,4,1),3)+20))=4,DAY((DATE('Calendario anual'!$C$3,4,1)-WEEKDAY(DATE('Calendario anual'!$C$3,4,1),3)+20)),"")</f>
        <v>18</v>
      </c>
      <c r="J9" s="17"/>
    </row>
    <row r="10" customFormat="false" ht="57.75" hidden="false" customHeight="true" outlineLevel="0" collapsed="false">
      <c r="B10" s="18"/>
      <c r="C10" s="18"/>
      <c r="D10" s="18"/>
      <c r="E10" s="18"/>
      <c r="F10" s="18"/>
      <c r="G10" s="19"/>
      <c r="H10" s="19"/>
      <c r="J10" s="17"/>
    </row>
    <row r="11" customFormat="false" ht="19.5" hidden="false" customHeight="true" outlineLevel="0" collapsed="false">
      <c r="B11" s="14" t="n">
        <f aca="false">IF(MONTH((DATE('Calendario anual'!$C$3,4,1)-WEEKDAY(DATE('Calendario anual'!$C$3,4,1),3)+21))=4,DAY((DATE('Calendario anual'!$C$3,4,1)-WEEKDAY(DATE('Calendario anual'!$C$3,4,1),3)+21)),"")</f>
        <v>19</v>
      </c>
      <c r="C11" s="14" t="n">
        <f aca="false">IF(MONTH((DATE('Calendario anual'!$C$3,4,1)-WEEKDAY(DATE('Calendario anual'!$C$3,4,1),3)+22))=4,DAY((DATE('Calendario anual'!$C$3,4,1)-WEEKDAY(DATE('Calendario anual'!$C$3,4,1),3)+22)),"")</f>
        <v>20</v>
      </c>
      <c r="D11" s="14" t="n">
        <f aca="false">IF(MONTH((DATE('Calendario anual'!$C$3,4,1)-WEEKDAY(DATE('Calendario anual'!$C$3,4,1),3)+23))=4,DAY((DATE('Calendario anual'!$C$3,4,1)-WEEKDAY(DATE('Calendario anual'!$C$3,4,1),3)+23)),"")</f>
        <v>21</v>
      </c>
      <c r="E11" s="14" t="n">
        <f aca="false">IF(MONTH((DATE('Calendario anual'!$C$3,4,1)-WEEKDAY(DATE('Calendario anual'!$C$3,4,1),3)+24))=4,DAY((DATE('Calendario anual'!$C$3,4,1)-WEEKDAY(DATE('Calendario anual'!$C$3,4,1),3)+24)),"")</f>
        <v>22</v>
      </c>
      <c r="F11" s="14" t="n">
        <f aca="false">IF(MONTH((DATE('Calendario anual'!$C$3,4,1)-WEEKDAY(DATE('Calendario anual'!$C$3,4,1),3)+25))=4,DAY((DATE('Calendario anual'!$C$3,4,1)-WEEKDAY(DATE('Calendario anual'!$C$3,4,1),3)+25)),"")</f>
        <v>23</v>
      </c>
      <c r="G11" s="15" t="n">
        <f aca="false">IF(MONTH((DATE('Calendario anual'!$C$3,4,1)-WEEKDAY(DATE('Calendario anual'!$C$3,4,1),3)+26))=4,DAY((DATE('Calendario anual'!$C$3,4,1)-WEEKDAY(DATE('Calendario anual'!$C$3,4,1),3)+26)),"")</f>
        <v>24</v>
      </c>
      <c r="H11" s="16" t="n">
        <f aca="false">IF(MONTH((DATE('Calendario anual'!$C$3,4,1)-WEEKDAY(DATE('Calendario anual'!$C$3,4,1),3)+27))=4,DAY((DATE('Calendario anual'!$C$3,4,1)-WEEKDAY(DATE('Calendario anual'!$C$3,4,1),3)+27)),"")</f>
        <v>25</v>
      </c>
      <c r="J11" s="17"/>
    </row>
    <row r="12" customFormat="false" ht="57.75" hidden="false" customHeight="true" outlineLevel="0" collapsed="false">
      <c r="B12" s="18"/>
      <c r="C12" s="18"/>
      <c r="D12" s="18"/>
      <c r="E12" s="18"/>
      <c r="F12" s="18"/>
      <c r="G12" s="19"/>
      <c r="H12" s="19"/>
      <c r="J12" s="17"/>
    </row>
    <row r="13" customFormat="false" ht="19.5" hidden="false" customHeight="true" outlineLevel="0" collapsed="false">
      <c r="B13" s="14" t="n">
        <f aca="false">IF(MONTH((DATE('Calendario anual'!$C$3,4,1)-WEEKDAY(DATE('Calendario anual'!$C$3,4,1),3)+28))=4,DAY((DATE('Calendario anual'!$C$3,4,1)-WEEKDAY(DATE('Calendario anual'!$C$3,4,1),3)+28)),"")</f>
        <v>26</v>
      </c>
      <c r="C13" s="14" t="n">
        <f aca="false">IF(MONTH((DATE('Calendario anual'!$C$3,4,1)-WEEKDAY(DATE('Calendario anual'!$C$3,4,1),3)+29))=4,DAY((DATE('Calendario anual'!$C$3,4,1)-WEEKDAY(DATE('Calendario anual'!$C$3,4,1),3)+29)),"")</f>
        <v>27</v>
      </c>
      <c r="D13" s="14" t="n">
        <f aca="false">IF(MONTH((DATE('Calendario anual'!$C$3,4,1)-WEEKDAY(DATE('Calendario anual'!$C$3,4,1),3)+30))=4,DAY((DATE('Calendario anual'!$C$3,4,1)-WEEKDAY(DATE('Calendario anual'!$C$3,4,1),3)+30)),"")</f>
        <v>28</v>
      </c>
      <c r="E13" s="14" t="n">
        <f aca="false">IF(MONTH((DATE('Calendario anual'!$C$3,4,1)-WEEKDAY(DATE('Calendario anual'!$C$3,4,1),3)+31))=4,DAY((DATE('Calendario anual'!$C$3,4,1)-WEEKDAY(DATE('Calendario anual'!$C$3,4,1),3)+31)),"")</f>
        <v>29</v>
      </c>
      <c r="F13" s="14" t="n">
        <f aca="false">IF(MONTH((DATE('Calendario anual'!$C$3,4,1)-WEEKDAY(DATE('Calendario anual'!$C$3,4,1),3)+32))=4,DAY((DATE('Calendario anual'!$C$3,4,1)-WEEKDAY(DATE('Calendario anual'!$C$3,4,1),3)+32)),"")</f>
        <v>30</v>
      </c>
      <c r="G13" s="15" t="str">
        <f aca="false">IF(MONTH((DATE('Calendario anual'!$C$3,4,1)-WEEKDAY(DATE('Calendario anual'!$C$3,4,1),3)+33))=4,DAY((DATE('Calendario anual'!$C$3,4,1)-WEEKDAY(DATE('Calendario anual'!$C$3,4,1),3)+33)),"")</f>
        <v/>
      </c>
      <c r="H13" s="16" t="str">
        <f aca="false">IF(MONTH((DATE('Calendario anual'!$C$3,4,1)-WEEKDAY(DATE('Calendario anual'!$C$3,4,1),3)+34))=4,DAY((DATE('Calendario anual'!$C$3,4,1)-WEEKDAY(DATE('Calendario anual'!$C$3,4,1),3)+34)),"")</f>
        <v/>
      </c>
      <c r="J13" s="17"/>
    </row>
    <row r="14" customFormat="false" ht="57.75" hidden="false" customHeight="true" outlineLevel="0" collapsed="false">
      <c r="B14" s="18"/>
      <c r="C14" s="18"/>
      <c r="D14" s="18"/>
      <c r="E14" s="18"/>
      <c r="F14" s="18"/>
      <c r="G14" s="19"/>
      <c r="H14" s="19"/>
      <c r="J14" s="17"/>
    </row>
    <row r="15" customFormat="false" ht="19.5" hidden="false" customHeight="true" outlineLevel="0" collapsed="false">
      <c r="B15" s="14" t="str">
        <f aca="false">IF(MONTH((DATE('Calendario anual'!$C$3,4,1)-WEEKDAY(DATE('Calendario anual'!$C$3,4,1),3)+35))=4,DAY((DATE('Calendario anual'!$C$3,4,1)-WEEKDAY(DATE('Calendario anual'!$C$3,4,1),3)+35)),"")</f>
        <v/>
      </c>
      <c r="C15" s="14" t="str">
        <f aca="false">IF(MONTH((DATE('Calendario anual'!$C$3,4,1)-WEEKDAY(DATE('Calendario anual'!$C$3,4,1),3)+36))=4,DAY((DATE('Calendario anual'!$C$3,4,1)-WEEKDAY(DATE('Calendario anual'!$C$3,4,1),3)+36)),"")</f>
        <v/>
      </c>
      <c r="D15" s="14" t="str">
        <f aca="false">IF(MONTH((DATE('Calendario anual'!$C$3,4,1)-WEEKDAY(DATE('Calendario anual'!$C$3,4,1),3)+37))=4,DAY((DATE('Calendario anual'!$C$3,4,1)-WEEKDAY(DATE('Calendario anual'!$C$3,4,1),3)+37)),"")</f>
        <v/>
      </c>
      <c r="E15" s="14" t="str">
        <f aca="false">IF(MONTH((DATE('Calendario anual'!$C$3,4,1)-WEEKDAY(DATE('Calendario anual'!$C$3,4,1),3)+38))=4,DAY((DATE('Calendario anual'!$C$3,4,1)-WEEKDAY(DATE('Calendario anual'!$C$3,4,1),3)+38)),"")</f>
        <v/>
      </c>
      <c r="F15" s="14" t="str">
        <f aca="false">IF(MONTH((DATE('Calendario anual'!$C$3,4,1)-WEEKDAY(DATE('Calendario anual'!$C$3,4,1),3)+39))=4,DAY((DATE('Calendario anual'!$C$3,4,1)-WEEKDAY(DATE('Calendario anual'!$C$3,4,1),3)+39)),"")</f>
        <v/>
      </c>
      <c r="G15" s="15" t="str">
        <f aca="false">IF(MONTH((DATE('Calendario anual'!$C$3,4,1)-WEEKDAY(DATE('Calendario anual'!$C$3,4,1),3)+40))=4,DAY((DATE('Calendario anual'!$C$3,4,1)-WEEKDAY(DATE('Calendario anual'!$C$3,4,1),3)+40)),"")</f>
        <v/>
      </c>
      <c r="H15" s="16" t="str">
        <f aca="false">IF(MONTH((DATE('Calendario anual'!$C$3,4,1)-WEEKDAY(DATE('Calendario anual'!$C$3,4,1),3)+41))=4,DAY((DATE('Calendario anual'!$C$3,4,1)-WEEKDAY(DATE('Calendario anual'!$C$3,4,1),3)+41)),"")</f>
        <v/>
      </c>
      <c r="J15" s="17"/>
    </row>
    <row r="16" customFormat="false" ht="57.75" hidden="false" customHeight="true" outlineLevel="0" collapsed="false">
      <c r="B16" s="18"/>
      <c r="C16" s="18"/>
      <c r="D16" s="18"/>
      <c r="E16" s="18"/>
      <c r="F16" s="18"/>
      <c r="G16" s="19"/>
      <c r="H16" s="19"/>
      <c r="J16" s="17"/>
    </row>
    <row r="18" customFormat="false" ht="15" hidden="false" customHeight="false" outlineLevel="0" collapsed="false">
      <c r="B18" s="10" t="s">
        <v>21</v>
      </c>
    </row>
  </sheetData>
  <mergeCells count="1">
    <mergeCell ref="B2:H2"/>
  </mergeCells>
  <printOptions headings="false" gridLines="false" gridLinesSet="true" horizontalCentered="true" verticalCentered="false"/>
  <pageMargins left="0.35" right="0.35" top="0.4" bottom="0.55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19"/>
    <col collapsed="false" customWidth="true" hidden="false" outlineLevel="0" max="9" min="9" style="0" width="2"/>
    <col collapsed="false" customWidth="true" hidden="false" outlineLevel="0" max="10" min="10" style="0" width="32"/>
  </cols>
  <sheetData>
    <row r="2" customFormat="false" ht="39.75" hidden="false" customHeight="true" outlineLevel="0" collapsed="false">
      <c r="B2" s="11" t="str">
        <f aca="false">"MAYO "&amp;'Calendario anual'!$C$3</f>
        <v>MAYO 2027</v>
      </c>
      <c r="C2" s="11"/>
      <c r="D2" s="11"/>
      <c r="E2" s="11"/>
      <c r="F2" s="11"/>
      <c r="G2" s="11"/>
      <c r="H2" s="11"/>
    </row>
    <row r="4" customFormat="false" ht="21.75" hidden="false" customHeight="true" outlineLevel="0" collapsed="false">
      <c r="B4" s="12" t="s">
        <v>23</v>
      </c>
      <c r="C4" s="12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J4" s="13" t="s">
        <v>30</v>
      </c>
    </row>
    <row r="5" customFormat="false" ht="19.5" hidden="false" customHeight="true" outlineLevel="0" collapsed="false">
      <c r="B5" s="14" t="str">
        <f aca="false">IF(MONTH((DATE('Calendario anual'!$C$3,5,1)-WEEKDAY(DATE('Calendario anual'!$C$3,5,1),3)+0))=5,DAY((DATE('Calendario anual'!$C$3,5,1)-WEEKDAY(DATE('Calendario anual'!$C$3,5,1),3)+0)),"")</f>
        <v/>
      </c>
      <c r="C5" s="14" t="str">
        <f aca="false">IF(MONTH((DATE('Calendario anual'!$C$3,5,1)-WEEKDAY(DATE('Calendario anual'!$C$3,5,1),3)+1))=5,DAY((DATE('Calendario anual'!$C$3,5,1)-WEEKDAY(DATE('Calendario anual'!$C$3,5,1),3)+1)),"")</f>
        <v/>
      </c>
      <c r="D5" s="14" t="str">
        <f aca="false">IF(MONTH((DATE('Calendario anual'!$C$3,5,1)-WEEKDAY(DATE('Calendario anual'!$C$3,5,1),3)+2))=5,DAY((DATE('Calendario anual'!$C$3,5,1)-WEEKDAY(DATE('Calendario anual'!$C$3,5,1),3)+2)),"")</f>
        <v/>
      </c>
      <c r="E5" s="14" t="str">
        <f aca="false">IF(MONTH((DATE('Calendario anual'!$C$3,5,1)-WEEKDAY(DATE('Calendario anual'!$C$3,5,1),3)+3))=5,DAY((DATE('Calendario anual'!$C$3,5,1)-WEEKDAY(DATE('Calendario anual'!$C$3,5,1),3)+3)),"")</f>
        <v/>
      </c>
      <c r="F5" s="14" t="str">
        <f aca="false">IF(MONTH((DATE('Calendario anual'!$C$3,5,1)-WEEKDAY(DATE('Calendario anual'!$C$3,5,1),3)+4))=5,DAY((DATE('Calendario anual'!$C$3,5,1)-WEEKDAY(DATE('Calendario anual'!$C$3,5,1),3)+4)),"")</f>
        <v/>
      </c>
      <c r="G5" s="15" t="n">
        <f aca="false">IF(MONTH((DATE('Calendario anual'!$C$3,5,1)-WEEKDAY(DATE('Calendario anual'!$C$3,5,1),3)+5))=5,DAY((DATE('Calendario anual'!$C$3,5,1)-WEEKDAY(DATE('Calendario anual'!$C$3,5,1),3)+5)),"")</f>
        <v>1</v>
      </c>
      <c r="H5" s="16" t="n">
        <f aca="false">IF(MONTH((DATE('Calendario anual'!$C$3,5,1)-WEEKDAY(DATE('Calendario anual'!$C$3,5,1),3)+6))=5,DAY((DATE('Calendario anual'!$C$3,5,1)-WEEKDAY(DATE('Calendario anual'!$C$3,5,1),3)+6)),"")</f>
        <v>2</v>
      </c>
      <c r="J5" s="17"/>
    </row>
    <row r="6" customFormat="false" ht="57.75" hidden="false" customHeight="true" outlineLevel="0" collapsed="false">
      <c r="B6" s="18"/>
      <c r="C6" s="18"/>
      <c r="D6" s="18"/>
      <c r="E6" s="18"/>
      <c r="F6" s="18"/>
      <c r="G6" s="19"/>
      <c r="H6" s="19"/>
      <c r="J6" s="17"/>
    </row>
    <row r="7" customFormat="false" ht="19.5" hidden="false" customHeight="true" outlineLevel="0" collapsed="false">
      <c r="B7" s="14" t="n">
        <f aca="false">IF(MONTH((DATE('Calendario anual'!$C$3,5,1)-WEEKDAY(DATE('Calendario anual'!$C$3,5,1),3)+7))=5,DAY((DATE('Calendario anual'!$C$3,5,1)-WEEKDAY(DATE('Calendario anual'!$C$3,5,1),3)+7)),"")</f>
        <v>3</v>
      </c>
      <c r="C7" s="14" t="n">
        <f aca="false">IF(MONTH((DATE('Calendario anual'!$C$3,5,1)-WEEKDAY(DATE('Calendario anual'!$C$3,5,1),3)+8))=5,DAY((DATE('Calendario anual'!$C$3,5,1)-WEEKDAY(DATE('Calendario anual'!$C$3,5,1),3)+8)),"")</f>
        <v>4</v>
      </c>
      <c r="D7" s="14" t="n">
        <f aca="false">IF(MONTH((DATE('Calendario anual'!$C$3,5,1)-WEEKDAY(DATE('Calendario anual'!$C$3,5,1),3)+9))=5,DAY((DATE('Calendario anual'!$C$3,5,1)-WEEKDAY(DATE('Calendario anual'!$C$3,5,1),3)+9)),"")</f>
        <v>5</v>
      </c>
      <c r="E7" s="14" t="n">
        <f aca="false">IF(MONTH((DATE('Calendario anual'!$C$3,5,1)-WEEKDAY(DATE('Calendario anual'!$C$3,5,1),3)+10))=5,DAY((DATE('Calendario anual'!$C$3,5,1)-WEEKDAY(DATE('Calendario anual'!$C$3,5,1),3)+10)),"")</f>
        <v>6</v>
      </c>
      <c r="F7" s="14" t="n">
        <f aca="false">IF(MONTH((DATE('Calendario anual'!$C$3,5,1)-WEEKDAY(DATE('Calendario anual'!$C$3,5,1),3)+11))=5,DAY((DATE('Calendario anual'!$C$3,5,1)-WEEKDAY(DATE('Calendario anual'!$C$3,5,1),3)+11)),"")</f>
        <v>7</v>
      </c>
      <c r="G7" s="15" t="n">
        <f aca="false">IF(MONTH((DATE('Calendario anual'!$C$3,5,1)-WEEKDAY(DATE('Calendario anual'!$C$3,5,1),3)+12))=5,DAY((DATE('Calendario anual'!$C$3,5,1)-WEEKDAY(DATE('Calendario anual'!$C$3,5,1),3)+12)),"")</f>
        <v>8</v>
      </c>
      <c r="H7" s="16" t="n">
        <f aca="false">IF(MONTH((DATE('Calendario anual'!$C$3,5,1)-WEEKDAY(DATE('Calendario anual'!$C$3,5,1),3)+13))=5,DAY((DATE('Calendario anual'!$C$3,5,1)-WEEKDAY(DATE('Calendario anual'!$C$3,5,1),3)+13)),"")</f>
        <v>9</v>
      </c>
      <c r="J7" s="17"/>
    </row>
    <row r="8" customFormat="false" ht="57.75" hidden="false" customHeight="true" outlineLevel="0" collapsed="false">
      <c r="B8" s="18"/>
      <c r="C8" s="18"/>
      <c r="D8" s="18"/>
      <c r="E8" s="18"/>
      <c r="F8" s="18"/>
      <c r="G8" s="19"/>
      <c r="H8" s="19"/>
      <c r="J8" s="17"/>
    </row>
    <row r="9" customFormat="false" ht="19.5" hidden="false" customHeight="true" outlineLevel="0" collapsed="false">
      <c r="B9" s="14" t="n">
        <f aca="false">IF(MONTH((DATE('Calendario anual'!$C$3,5,1)-WEEKDAY(DATE('Calendario anual'!$C$3,5,1),3)+14))=5,DAY((DATE('Calendario anual'!$C$3,5,1)-WEEKDAY(DATE('Calendario anual'!$C$3,5,1),3)+14)),"")</f>
        <v>10</v>
      </c>
      <c r="C9" s="14" t="n">
        <f aca="false">IF(MONTH((DATE('Calendario anual'!$C$3,5,1)-WEEKDAY(DATE('Calendario anual'!$C$3,5,1),3)+15))=5,DAY((DATE('Calendario anual'!$C$3,5,1)-WEEKDAY(DATE('Calendario anual'!$C$3,5,1),3)+15)),"")</f>
        <v>11</v>
      </c>
      <c r="D9" s="14" t="n">
        <f aca="false">IF(MONTH((DATE('Calendario anual'!$C$3,5,1)-WEEKDAY(DATE('Calendario anual'!$C$3,5,1),3)+16))=5,DAY((DATE('Calendario anual'!$C$3,5,1)-WEEKDAY(DATE('Calendario anual'!$C$3,5,1),3)+16)),"")</f>
        <v>12</v>
      </c>
      <c r="E9" s="14" t="n">
        <f aca="false">IF(MONTH((DATE('Calendario anual'!$C$3,5,1)-WEEKDAY(DATE('Calendario anual'!$C$3,5,1),3)+17))=5,DAY((DATE('Calendario anual'!$C$3,5,1)-WEEKDAY(DATE('Calendario anual'!$C$3,5,1),3)+17)),"")</f>
        <v>13</v>
      </c>
      <c r="F9" s="14" t="n">
        <f aca="false">IF(MONTH((DATE('Calendario anual'!$C$3,5,1)-WEEKDAY(DATE('Calendario anual'!$C$3,5,1),3)+18))=5,DAY((DATE('Calendario anual'!$C$3,5,1)-WEEKDAY(DATE('Calendario anual'!$C$3,5,1),3)+18)),"")</f>
        <v>14</v>
      </c>
      <c r="G9" s="15" t="n">
        <f aca="false">IF(MONTH((DATE('Calendario anual'!$C$3,5,1)-WEEKDAY(DATE('Calendario anual'!$C$3,5,1),3)+19))=5,DAY((DATE('Calendario anual'!$C$3,5,1)-WEEKDAY(DATE('Calendario anual'!$C$3,5,1),3)+19)),"")</f>
        <v>15</v>
      </c>
      <c r="H9" s="16" t="n">
        <f aca="false">IF(MONTH((DATE('Calendario anual'!$C$3,5,1)-WEEKDAY(DATE('Calendario anual'!$C$3,5,1),3)+20))=5,DAY((DATE('Calendario anual'!$C$3,5,1)-WEEKDAY(DATE('Calendario anual'!$C$3,5,1),3)+20)),"")</f>
        <v>16</v>
      </c>
      <c r="J9" s="17"/>
    </row>
    <row r="10" customFormat="false" ht="57.75" hidden="false" customHeight="true" outlineLevel="0" collapsed="false">
      <c r="B10" s="18"/>
      <c r="C10" s="18"/>
      <c r="D10" s="18"/>
      <c r="E10" s="18"/>
      <c r="F10" s="18"/>
      <c r="G10" s="19"/>
      <c r="H10" s="19"/>
      <c r="J10" s="17"/>
    </row>
    <row r="11" customFormat="false" ht="19.5" hidden="false" customHeight="true" outlineLevel="0" collapsed="false">
      <c r="B11" s="14" t="n">
        <f aca="false">IF(MONTH((DATE('Calendario anual'!$C$3,5,1)-WEEKDAY(DATE('Calendario anual'!$C$3,5,1),3)+21))=5,DAY((DATE('Calendario anual'!$C$3,5,1)-WEEKDAY(DATE('Calendario anual'!$C$3,5,1),3)+21)),"")</f>
        <v>17</v>
      </c>
      <c r="C11" s="14" t="n">
        <f aca="false">IF(MONTH((DATE('Calendario anual'!$C$3,5,1)-WEEKDAY(DATE('Calendario anual'!$C$3,5,1),3)+22))=5,DAY((DATE('Calendario anual'!$C$3,5,1)-WEEKDAY(DATE('Calendario anual'!$C$3,5,1),3)+22)),"")</f>
        <v>18</v>
      </c>
      <c r="D11" s="14" t="n">
        <f aca="false">IF(MONTH((DATE('Calendario anual'!$C$3,5,1)-WEEKDAY(DATE('Calendario anual'!$C$3,5,1),3)+23))=5,DAY((DATE('Calendario anual'!$C$3,5,1)-WEEKDAY(DATE('Calendario anual'!$C$3,5,1),3)+23)),"")</f>
        <v>19</v>
      </c>
      <c r="E11" s="14" t="n">
        <f aca="false">IF(MONTH((DATE('Calendario anual'!$C$3,5,1)-WEEKDAY(DATE('Calendario anual'!$C$3,5,1),3)+24))=5,DAY((DATE('Calendario anual'!$C$3,5,1)-WEEKDAY(DATE('Calendario anual'!$C$3,5,1),3)+24)),"")</f>
        <v>20</v>
      </c>
      <c r="F11" s="14" t="n">
        <f aca="false">IF(MONTH((DATE('Calendario anual'!$C$3,5,1)-WEEKDAY(DATE('Calendario anual'!$C$3,5,1),3)+25))=5,DAY((DATE('Calendario anual'!$C$3,5,1)-WEEKDAY(DATE('Calendario anual'!$C$3,5,1),3)+25)),"")</f>
        <v>21</v>
      </c>
      <c r="G11" s="15" t="n">
        <f aca="false">IF(MONTH((DATE('Calendario anual'!$C$3,5,1)-WEEKDAY(DATE('Calendario anual'!$C$3,5,1),3)+26))=5,DAY((DATE('Calendario anual'!$C$3,5,1)-WEEKDAY(DATE('Calendario anual'!$C$3,5,1),3)+26)),"")</f>
        <v>22</v>
      </c>
      <c r="H11" s="16" t="n">
        <f aca="false">IF(MONTH((DATE('Calendario anual'!$C$3,5,1)-WEEKDAY(DATE('Calendario anual'!$C$3,5,1),3)+27))=5,DAY((DATE('Calendario anual'!$C$3,5,1)-WEEKDAY(DATE('Calendario anual'!$C$3,5,1),3)+27)),"")</f>
        <v>23</v>
      </c>
      <c r="J11" s="17"/>
    </row>
    <row r="12" customFormat="false" ht="57.75" hidden="false" customHeight="true" outlineLevel="0" collapsed="false">
      <c r="B12" s="18"/>
      <c r="C12" s="18"/>
      <c r="D12" s="18"/>
      <c r="E12" s="18"/>
      <c r="F12" s="18"/>
      <c r="G12" s="19"/>
      <c r="H12" s="19"/>
      <c r="J12" s="17"/>
    </row>
    <row r="13" customFormat="false" ht="19.5" hidden="false" customHeight="true" outlineLevel="0" collapsed="false">
      <c r="B13" s="14" t="n">
        <f aca="false">IF(MONTH((DATE('Calendario anual'!$C$3,5,1)-WEEKDAY(DATE('Calendario anual'!$C$3,5,1),3)+28))=5,DAY((DATE('Calendario anual'!$C$3,5,1)-WEEKDAY(DATE('Calendario anual'!$C$3,5,1),3)+28)),"")</f>
        <v>24</v>
      </c>
      <c r="C13" s="14" t="n">
        <f aca="false">IF(MONTH((DATE('Calendario anual'!$C$3,5,1)-WEEKDAY(DATE('Calendario anual'!$C$3,5,1),3)+29))=5,DAY((DATE('Calendario anual'!$C$3,5,1)-WEEKDAY(DATE('Calendario anual'!$C$3,5,1),3)+29)),"")</f>
        <v>25</v>
      </c>
      <c r="D13" s="14" t="n">
        <f aca="false">IF(MONTH((DATE('Calendario anual'!$C$3,5,1)-WEEKDAY(DATE('Calendario anual'!$C$3,5,1),3)+30))=5,DAY((DATE('Calendario anual'!$C$3,5,1)-WEEKDAY(DATE('Calendario anual'!$C$3,5,1),3)+30)),"")</f>
        <v>26</v>
      </c>
      <c r="E13" s="14" t="n">
        <f aca="false">IF(MONTH((DATE('Calendario anual'!$C$3,5,1)-WEEKDAY(DATE('Calendario anual'!$C$3,5,1),3)+31))=5,DAY((DATE('Calendario anual'!$C$3,5,1)-WEEKDAY(DATE('Calendario anual'!$C$3,5,1),3)+31)),"")</f>
        <v>27</v>
      </c>
      <c r="F13" s="14" t="n">
        <f aca="false">IF(MONTH((DATE('Calendario anual'!$C$3,5,1)-WEEKDAY(DATE('Calendario anual'!$C$3,5,1),3)+32))=5,DAY((DATE('Calendario anual'!$C$3,5,1)-WEEKDAY(DATE('Calendario anual'!$C$3,5,1),3)+32)),"")</f>
        <v>28</v>
      </c>
      <c r="G13" s="15" t="n">
        <f aca="false">IF(MONTH((DATE('Calendario anual'!$C$3,5,1)-WEEKDAY(DATE('Calendario anual'!$C$3,5,1),3)+33))=5,DAY((DATE('Calendario anual'!$C$3,5,1)-WEEKDAY(DATE('Calendario anual'!$C$3,5,1),3)+33)),"")</f>
        <v>29</v>
      </c>
      <c r="H13" s="16" t="n">
        <f aca="false">IF(MONTH((DATE('Calendario anual'!$C$3,5,1)-WEEKDAY(DATE('Calendario anual'!$C$3,5,1),3)+34))=5,DAY((DATE('Calendario anual'!$C$3,5,1)-WEEKDAY(DATE('Calendario anual'!$C$3,5,1),3)+34)),"")</f>
        <v>30</v>
      </c>
      <c r="J13" s="17"/>
    </row>
    <row r="14" customFormat="false" ht="57.75" hidden="false" customHeight="true" outlineLevel="0" collapsed="false">
      <c r="B14" s="18"/>
      <c r="C14" s="18"/>
      <c r="D14" s="18"/>
      <c r="E14" s="18"/>
      <c r="F14" s="18"/>
      <c r="G14" s="19"/>
      <c r="H14" s="19"/>
      <c r="J14" s="17"/>
    </row>
    <row r="15" customFormat="false" ht="19.5" hidden="false" customHeight="true" outlineLevel="0" collapsed="false">
      <c r="B15" s="14" t="n">
        <f aca="false">IF(MONTH((DATE('Calendario anual'!$C$3,5,1)-WEEKDAY(DATE('Calendario anual'!$C$3,5,1),3)+35))=5,DAY((DATE('Calendario anual'!$C$3,5,1)-WEEKDAY(DATE('Calendario anual'!$C$3,5,1),3)+35)),"")</f>
        <v>31</v>
      </c>
      <c r="C15" s="14" t="str">
        <f aca="false">IF(MONTH((DATE('Calendario anual'!$C$3,5,1)-WEEKDAY(DATE('Calendario anual'!$C$3,5,1),3)+36))=5,DAY((DATE('Calendario anual'!$C$3,5,1)-WEEKDAY(DATE('Calendario anual'!$C$3,5,1),3)+36)),"")</f>
        <v/>
      </c>
      <c r="D15" s="14" t="str">
        <f aca="false">IF(MONTH((DATE('Calendario anual'!$C$3,5,1)-WEEKDAY(DATE('Calendario anual'!$C$3,5,1),3)+37))=5,DAY((DATE('Calendario anual'!$C$3,5,1)-WEEKDAY(DATE('Calendario anual'!$C$3,5,1),3)+37)),"")</f>
        <v/>
      </c>
      <c r="E15" s="14" t="str">
        <f aca="false">IF(MONTH((DATE('Calendario anual'!$C$3,5,1)-WEEKDAY(DATE('Calendario anual'!$C$3,5,1),3)+38))=5,DAY((DATE('Calendario anual'!$C$3,5,1)-WEEKDAY(DATE('Calendario anual'!$C$3,5,1),3)+38)),"")</f>
        <v/>
      </c>
      <c r="F15" s="14" t="str">
        <f aca="false">IF(MONTH((DATE('Calendario anual'!$C$3,5,1)-WEEKDAY(DATE('Calendario anual'!$C$3,5,1),3)+39))=5,DAY((DATE('Calendario anual'!$C$3,5,1)-WEEKDAY(DATE('Calendario anual'!$C$3,5,1),3)+39)),"")</f>
        <v/>
      </c>
      <c r="G15" s="15" t="str">
        <f aca="false">IF(MONTH((DATE('Calendario anual'!$C$3,5,1)-WEEKDAY(DATE('Calendario anual'!$C$3,5,1),3)+40))=5,DAY((DATE('Calendario anual'!$C$3,5,1)-WEEKDAY(DATE('Calendario anual'!$C$3,5,1),3)+40)),"")</f>
        <v/>
      </c>
      <c r="H15" s="16" t="str">
        <f aca="false">IF(MONTH((DATE('Calendario anual'!$C$3,5,1)-WEEKDAY(DATE('Calendario anual'!$C$3,5,1),3)+41))=5,DAY((DATE('Calendario anual'!$C$3,5,1)-WEEKDAY(DATE('Calendario anual'!$C$3,5,1),3)+41)),"")</f>
        <v/>
      </c>
      <c r="J15" s="17"/>
    </row>
    <row r="16" customFormat="false" ht="57.75" hidden="false" customHeight="true" outlineLevel="0" collapsed="false">
      <c r="B16" s="18"/>
      <c r="C16" s="18"/>
      <c r="D16" s="18"/>
      <c r="E16" s="18"/>
      <c r="F16" s="18"/>
      <c r="G16" s="19"/>
      <c r="H16" s="19"/>
      <c r="J16" s="17"/>
    </row>
    <row r="18" customFormat="false" ht="15" hidden="false" customHeight="false" outlineLevel="0" collapsed="false">
      <c r="B18" s="10" t="s">
        <v>21</v>
      </c>
    </row>
  </sheetData>
  <mergeCells count="1">
    <mergeCell ref="B2:H2"/>
  </mergeCells>
  <printOptions headings="false" gridLines="false" gridLinesSet="true" horizontalCentered="true" verticalCentered="false"/>
  <pageMargins left="0.35" right="0.35" top="0.4" bottom="0.55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19"/>
    <col collapsed="false" customWidth="true" hidden="false" outlineLevel="0" max="9" min="9" style="0" width="2"/>
    <col collapsed="false" customWidth="true" hidden="false" outlineLevel="0" max="10" min="10" style="0" width="32"/>
  </cols>
  <sheetData>
    <row r="2" customFormat="false" ht="39.75" hidden="false" customHeight="true" outlineLevel="0" collapsed="false">
      <c r="B2" s="11" t="str">
        <f aca="false">"JUNIO "&amp;'Calendario anual'!$C$3</f>
        <v>JUNIO 2027</v>
      </c>
      <c r="C2" s="11"/>
      <c r="D2" s="11"/>
      <c r="E2" s="11"/>
      <c r="F2" s="11"/>
      <c r="G2" s="11"/>
      <c r="H2" s="11"/>
    </row>
    <row r="4" customFormat="false" ht="21.75" hidden="false" customHeight="true" outlineLevel="0" collapsed="false">
      <c r="B4" s="12" t="s">
        <v>23</v>
      </c>
      <c r="C4" s="12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J4" s="13" t="s">
        <v>30</v>
      </c>
    </row>
    <row r="5" customFormat="false" ht="19.5" hidden="false" customHeight="true" outlineLevel="0" collapsed="false">
      <c r="B5" s="14" t="str">
        <f aca="false">IF(MONTH((DATE('Calendario anual'!$C$3,6,1)-WEEKDAY(DATE('Calendario anual'!$C$3,6,1),3)+0))=6,DAY((DATE('Calendario anual'!$C$3,6,1)-WEEKDAY(DATE('Calendario anual'!$C$3,6,1),3)+0)),"")</f>
        <v/>
      </c>
      <c r="C5" s="14" t="n">
        <f aca="false">IF(MONTH((DATE('Calendario anual'!$C$3,6,1)-WEEKDAY(DATE('Calendario anual'!$C$3,6,1),3)+1))=6,DAY((DATE('Calendario anual'!$C$3,6,1)-WEEKDAY(DATE('Calendario anual'!$C$3,6,1),3)+1)),"")</f>
        <v>1</v>
      </c>
      <c r="D5" s="14" t="n">
        <f aca="false">IF(MONTH((DATE('Calendario anual'!$C$3,6,1)-WEEKDAY(DATE('Calendario anual'!$C$3,6,1),3)+2))=6,DAY((DATE('Calendario anual'!$C$3,6,1)-WEEKDAY(DATE('Calendario anual'!$C$3,6,1),3)+2)),"")</f>
        <v>2</v>
      </c>
      <c r="E5" s="14" t="n">
        <f aca="false">IF(MONTH((DATE('Calendario anual'!$C$3,6,1)-WEEKDAY(DATE('Calendario anual'!$C$3,6,1),3)+3))=6,DAY((DATE('Calendario anual'!$C$3,6,1)-WEEKDAY(DATE('Calendario anual'!$C$3,6,1),3)+3)),"")</f>
        <v>3</v>
      </c>
      <c r="F5" s="14" t="n">
        <f aca="false">IF(MONTH((DATE('Calendario anual'!$C$3,6,1)-WEEKDAY(DATE('Calendario anual'!$C$3,6,1),3)+4))=6,DAY((DATE('Calendario anual'!$C$3,6,1)-WEEKDAY(DATE('Calendario anual'!$C$3,6,1),3)+4)),"")</f>
        <v>4</v>
      </c>
      <c r="G5" s="15" t="n">
        <f aca="false">IF(MONTH((DATE('Calendario anual'!$C$3,6,1)-WEEKDAY(DATE('Calendario anual'!$C$3,6,1),3)+5))=6,DAY((DATE('Calendario anual'!$C$3,6,1)-WEEKDAY(DATE('Calendario anual'!$C$3,6,1),3)+5)),"")</f>
        <v>5</v>
      </c>
      <c r="H5" s="16" t="n">
        <f aca="false">IF(MONTH((DATE('Calendario anual'!$C$3,6,1)-WEEKDAY(DATE('Calendario anual'!$C$3,6,1),3)+6))=6,DAY((DATE('Calendario anual'!$C$3,6,1)-WEEKDAY(DATE('Calendario anual'!$C$3,6,1),3)+6)),"")</f>
        <v>6</v>
      </c>
      <c r="J5" s="17"/>
    </row>
    <row r="6" customFormat="false" ht="57.75" hidden="false" customHeight="true" outlineLevel="0" collapsed="false">
      <c r="B6" s="18"/>
      <c r="C6" s="18"/>
      <c r="D6" s="18"/>
      <c r="E6" s="18"/>
      <c r="F6" s="18"/>
      <c r="G6" s="19"/>
      <c r="H6" s="19"/>
      <c r="J6" s="17"/>
    </row>
    <row r="7" customFormat="false" ht="19.5" hidden="false" customHeight="true" outlineLevel="0" collapsed="false">
      <c r="B7" s="14" t="n">
        <f aca="false">IF(MONTH((DATE('Calendario anual'!$C$3,6,1)-WEEKDAY(DATE('Calendario anual'!$C$3,6,1),3)+7))=6,DAY((DATE('Calendario anual'!$C$3,6,1)-WEEKDAY(DATE('Calendario anual'!$C$3,6,1),3)+7)),"")</f>
        <v>7</v>
      </c>
      <c r="C7" s="14" t="n">
        <f aca="false">IF(MONTH((DATE('Calendario anual'!$C$3,6,1)-WEEKDAY(DATE('Calendario anual'!$C$3,6,1),3)+8))=6,DAY((DATE('Calendario anual'!$C$3,6,1)-WEEKDAY(DATE('Calendario anual'!$C$3,6,1),3)+8)),"")</f>
        <v>8</v>
      </c>
      <c r="D7" s="14" t="n">
        <f aca="false">IF(MONTH((DATE('Calendario anual'!$C$3,6,1)-WEEKDAY(DATE('Calendario anual'!$C$3,6,1),3)+9))=6,DAY((DATE('Calendario anual'!$C$3,6,1)-WEEKDAY(DATE('Calendario anual'!$C$3,6,1),3)+9)),"")</f>
        <v>9</v>
      </c>
      <c r="E7" s="14" t="n">
        <f aca="false">IF(MONTH((DATE('Calendario anual'!$C$3,6,1)-WEEKDAY(DATE('Calendario anual'!$C$3,6,1),3)+10))=6,DAY((DATE('Calendario anual'!$C$3,6,1)-WEEKDAY(DATE('Calendario anual'!$C$3,6,1),3)+10)),"")</f>
        <v>10</v>
      </c>
      <c r="F7" s="14" t="n">
        <f aca="false">IF(MONTH((DATE('Calendario anual'!$C$3,6,1)-WEEKDAY(DATE('Calendario anual'!$C$3,6,1),3)+11))=6,DAY((DATE('Calendario anual'!$C$3,6,1)-WEEKDAY(DATE('Calendario anual'!$C$3,6,1),3)+11)),"")</f>
        <v>11</v>
      </c>
      <c r="G7" s="15" t="n">
        <f aca="false">IF(MONTH((DATE('Calendario anual'!$C$3,6,1)-WEEKDAY(DATE('Calendario anual'!$C$3,6,1),3)+12))=6,DAY((DATE('Calendario anual'!$C$3,6,1)-WEEKDAY(DATE('Calendario anual'!$C$3,6,1),3)+12)),"")</f>
        <v>12</v>
      </c>
      <c r="H7" s="16" t="n">
        <f aca="false">IF(MONTH((DATE('Calendario anual'!$C$3,6,1)-WEEKDAY(DATE('Calendario anual'!$C$3,6,1),3)+13))=6,DAY((DATE('Calendario anual'!$C$3,6,1)-WEEKDAY(DATE('Calendario anual'!$C$3,6,1),3)+13)),"")</f>
        <v>13</v>
      </c>
      <c r="J7" s="17"/>
    </row>
    <row r="8" customFormat="false" ht="57.75" hidden="false" customHeight="true" outlineLevel="0" collapsed="false">
      <c r="B8" s="18"/>
      <c r="C8" s="18"/>
      <c r="D8" s="18"/>
      <c r="E8" s="18"/>
      <c r="F8" s="18"/>
      <c r="G8" s="19"/>
      <c r="H8" s="19"/>
      <c r="J8" s="17"/>
    </row>
    <row r="9" customFormat="false" ht="19.5" hidden="false" customHeight="true" outlineLevel="0" collapsed="false">
      <c r="B9" s="14" t="n">
        <f aca="false">IF(MONTH((DATE('Calendario anual'!$C$3,6,1)-WEEKDAY(DATE('Calendario anual'!$C$3,6,1),3)+14))=6,DAY((DATE('Calendario anual'!$C$3,6,1)-WEEKDAY(DATE('Calendario anual'!$C$3,6,1),3)+14)),"")</f>
        <v>14</v>
      </c>
      <c r="C9" s="14" t="n">
        <f aca="false">IF(MONTH((DATE('Calendario anual'!$C$3,6,1)-WEEKDAY(DATE('Calendario anual'!$C$3,6,1),3)+15))=6,DAY((DATE('Calendario anual'!$C$3,6,1)-WEEKDAY(DATE('Calendario anual'!$C$3,6,1),3)+15)),"")</f>
        <v>15</v>
      </c>
      <c r="D9" s="14" t="n">
        <f aca="false">IF(MONTH((DATE('Calendario anual'!$C$3,6,1)-WEEKDAY(DATE('Calendario anual'!$C$3,6,1),3)+16))=6,DAY((DATE('Calendario anual'!$C$3,6,1)-WEEKDAY(DATE('Calendario anual'!$C$3,6,1),3)+16)),"")</f>
        <v>16</v>
      </c>
      <c r="E9" s="14" t="n">
        <f aca="false">IF(MONTH((DATE('Calendario anual'!$C$3,6,1)-WEEKDAY(DATE('Calendario anual'!$C$3,6,1),3)+17))=6,DAY((DATE('Calendario anual'!$C$3,6,1)-WEEKDAY(DATE('Calendario anual'!$C$3,6,1),3)+17)),"")</f>
        <v>17</v>
      </c>
      <c r="F9" s="14" t="n">
        <f aca="false">IF(MONTH((DATE('Calendario anual'!$C$3,6,1)-WEEKDAY(DATE('Calendario anual'!$C$3,6,1),3)+18))=6,DAY((DATE('Calendario anual'!$C$3,6,1)-WEEKDAY(DATE('Calendario anual'!$C$3,6,1),3)+18)),"")</f>
        <v>18</v>
      </c>
      <c r="G9" s="15" t="n">
        <f aca="false">IF(MONTH((DATE('Calendario anual'!$C$3,6,1)-WEEKDAY(DATE('Calendario anual'!$C$3,6,1),3)+19))=6,DAY((DATE('Calendario anual'!$C$3,6,1)-WEEKDAY(DATE('Calendario anual'!$C$3,6,1),3)+19)),"")</f>
        <v>19</v>
      </c>
      <c r="H9" s="16" t="n">
        <f aca="false">IF(MONTH((DATE('Calendario anual'!$C$3,6,1)-WEEKDAY(DATE('Calendario anual'!$C$3,6,1),3)+20))=6,DAY((DATE('Calendario anual'!$C$3,6,1)-WEEKDAY(DATE('Calendario anual'!$C$3,6,1),3)+20)),"")</f>
        <v>20</v>
      </c>
      <c r="J9" s="17"/>
    </row>
    <row r="10" customFormat="false" ht="57.75" hidden="false" customHeight="true" outlineLevel="0" collapsed="false">
      <c r="B10" s="18"/>
      <c r="C10" s="18"/>
      <c r="D10" s="18"/>
      <c r="E10" s="18"/>
      <c r="F10" s="18"/>
      <c r="G10" s="19"/>
      <c r="H10" s="19"/>
      <c r="J10" s="17"/>
    </row>
    <row r="11" customFormat="false" ht="19.5" hidden="false" customHeight="true" outlineLevel="0" collapsed="false">
      <c r="B11" s="14" t="n">
        <f aca="false">IF(MONTH((DATE('Calendario anual'!$C$3,6,1)-WEEKDAY(DATE('Calendario anual'!$C$3,6,1),3)+21))=6,DAY((DATE('Calendario anual'!$C$3,6,1)-WEEKDAY(DATE('Calendario anual'!$C$3,6,1),3)+21)),"")</f>
        <v>21</v>
      </c>
      <c r="C11" s="14" t="n">
        <f aca="false">IF(MONTH((DATE('Calendario anual'!$C$3,6,1)-WEEKDAY(DATE('Calendario anual'!$C$3,6,1),3)+22))=6,DAY((DATE('Calendario anual'!$C$3,6,1)-WEEKDAY(DATE('Calendario anual'!$C$3,6,1),3)+22)),"")</f>
        <v>22</v>
      </c>
      <c r="D11" s="14" t="n">
        <f aca="false">IF(MONTH((DATE('Calendario anual'!$C$3,6,1)-WEEKDAY(DATE('Calendario anual'!$C$3,6,1),3)+23))=6,DAY((DATE('Calendario anual'!$C$3,6,1)-WEEKDAY(DATE('Calendario anual'!$C$3,6,1),3)+23)),"")</f>
        <v>23</v>
      </c>
      <c r="E11" s="14" t="n">
        <f aca="false">IF(MONTH((DATE('Calendario anual'!$C$3,6,1)-WEEKDAY(DATE('Calendario anual'!$C$3,6,1),3)+24))=6,DAY((DATE('Calendario anual'!$C$3,6,1)-WEEKDAY(DATE('Calendario anual'!$C$3,6,1),3)+24)),"")</f>
        <v>24</v>
      </c>
      <c r="F11" s="14" t="n">
        <f aca="false">IF(MONTH((DATE('Calendario anual'!$C$3,6,1)-WEEKDAY(DATE('Calendario anual'!$C$3,6,1),3)+25))=6,DAY((DATE('Calendario anual'!$C$3,6,1)-WEEKDAY(DATE('Calendario anual'!$C$3,6,1),3)+25)),"")</f>
        <v>25</v>
      </c>
      <c r="G11" s="15" t="n">
        <f aca="false">IF(MONTH((DATE('Calendario anual'!$C$3,6,1)-WEEKDAY(DATE('Calendario anual'!$C$3,6,1),3)+26))=6,DAY((DATE('Calendario anual'!$C$3,6,1)-WEEKDAY(DATE('Calendario anual'!$C$3,6,1),3)+26)),"")</f>
        <v>26</v>
      </c>
      <c r="H11" s="16" t="n">
        <f aca="false">IF(MONTH((DATE('Calendario anual'!$C$3,6,1)-WEEKDAY(DATE('Calendario anual'!$C$3,6,1),3)+27))=6,DAY((DATE('Calendario anual'!$C$3,6,1)-WEEKDAY(DATE('Calendario anual'!$C$3,6,1),3)+27)),"")</f>
        <v>27</v>
      </c>
      <c r="J11" s="17"/>
    </row>
    <row r="12" customFormat="false" ht="57.75" hidden="false" customHeight="true" outlineLevel="0" collapsed="false">
      <c r="B12" s="18"/>
      <c r="C12" s="18"/>
      <c r="D12" s="18"/>
      <c r="E12" s="18"/>
      <c r="F12" s="18"/>
      <c r="G12" s="19"/>
      <c r="H12" s="19"/>
      <c r="J12" s="17"/>
    </row>
    <row r="13" customFormat="false" ht="19.5" hidden="false" customHeight="true" outlineLevel="0" collapsed="false">
      <c r="B13" s="14" t="n">
        <f aca="false">IF(MONTH((DATE('Calendario anual'!$C$3,6,1)-WEEKDAY(DATE('Calendario anual'!$C$3,6,1),3)+28))=6,DAY((DATE('Calendario anual'!$C$3,6,1)-WEEKDAY(DATE('Calendario anual'!$C$3,6,1),3)+28)),"")</f>
        <v>28</v>
      </c>
      <c r="C13" s="14" t="n">
        <f aca="false">IF(MONTH((DATE('Calendario anual'!$C$3,6,1)-WEEKDAY(DATE('Calendario anual'!$C$3,6,1),3)+29))=6,DAY((DATE('Calendario anual'!$C$3,6,1)-WEEKDAY(DATE('Calendario anual'!$C$3,6,1),3)+29)),"")</f>
        <v>29</v>
      </c>
      <c r="D13" s="14" t="n">
        <f aca="false">IF(MONTH((DATE('Calendario anual'!$C$3,6,1)-WEEKDAY(DATE('Calendario anual'!$C$3,6,1),3)+30))=6,DAY((DATE('Calendario anual'!$C$3,6,1)-WEEKDAY(DATE('Calendario anual'!$C$3,6,1),3)+30)),"")</f>
        <v>30</v>
      </c>
      <c r="E13" s="14" t="str">
        <f aca="false">IF(MONTH((DATE('Calendario anual'!$C$3,6,1)-WEEKDAY(DATE('Calendario anual'!$C$3,6,1),3)+31))=6,DAY((DATE('Calendario anual'!$C$3,6,1)-WEEKDAY(DATE('Calendario anual'!$C$3,6,1),3)+31)),"")</f>
        <v/>
      </c>
      <c r="F13" s="14" t="str">
        <f aca="false">IF(MONTH((DATE('Calendario anual'!$C$3,6,1)-WEEKDAY(DATE('Calendario anual'!$C$3,6,1),3)+32))=6,DAY((DATE('Calendario anual'!$C$3,6,1)-WEEKDAY(DATE('Calendario anual'!$C$3,6,1),3)+32)),"")</f>
        <v/>
      </c>
      <c r="G13" s="15" t="str">
        <f aca="false">IF(MONTH((DATE('Calendario anual'!$C$3,6,1)-WEEKDAY(DATE('Calendario anual'!$C$3,6,1),3)+33))=6,DAY((DATE('Calendario anual'!$C$3,6,1)-WEEKDAY(DATE('Calendario anual'!$C$3,6,1),3)+33)),"")</f>
        <v/>
      </c>
      <c r="H13" s="16" t="str">
        <f aca="false">IF(MONTH((DATE('Calendario anual'!$C$3,6,1)-WEEKDAY(DATE('Calendario anual'!$C$3,6,1),3)+34))=6,DAY((DATE('Calendario anual'!$C$3,6,1)-WEEKDAY(DATE('Calendario anual'!$C$3,6,1),3)+34)),"")</f>
        <v/>
      </c>
      <c r="J13" s="17"/>
    </row>
    <row r="14" customFormat="false" ht="57.75" hidden="false" customHeight="true" outlineLevel="0" collapsed="false">
      <c r="B14" s="18"/>
      <c r="C14" s="18"/>
      <c r="D14" s="18"/>
      <c r="E14" s="18"/>
      <c r="F14" s="18"/>
      <c r="G14" s="19"/>
      <c r="H14" s="19"/>
      <c r="J14" s="17"/>
    </row>
    <row r="15" customFormat="false" ht="19.5" hidden="false" customHeight="true" outlineLevel="0" collapsed="false">
      <c r="B15" s="14" t="str">
        <f aca="false">IF(MONTH((DATE('Calendario anual'!$C$3,6,1)-WEEKDAY(DATE('Calendario anual'!$C$3,6,1),3)+35))=6,DAY((DATE('Calendario anual'!$C$3,6,1)-WEEKDAY(DATE('Calendario anual'!$C$3,6,1),3)+35)),"")</f>
        <v/>
      </c>
      <c r="C15" s="14" t="str">
        <f aca="false">IF(MONTH((DATE('Calendario anual'!$C$3,6,1)-WEEKDAY(DATE('Calendario anual'!$C$3,6,1),3)+36))=6,DAY((DATE('Calendario anual'!$C$3,6,1)-WEEKDAY(DATE('Calendario anual'!$C$3,6,1),3)+36)),"")</f>
        <v/>
      </c>
      <c r="D15" s="14" t="str">
        <f aca="false">IF(MONTH((DATE('Calendario anual'!$C$3,6,1)-WEEKDAY(DATE('Calendario anual'!$C$3,6,1),3)+37))=6,DAY((DATE('Calendario anual'!$C$3,6,1)-WEEKDAY(DATE('Calendario anual'!$C$3,6,1),3)+37)),"")</f>
        <v/>
      </c>
      <c r="E15" s="14" t="str">
        <f aca="false">IF(MONTH((DATE('Calendario anual'!$C$3,6,1)-WEEKDAY(DATE('Calendario anual'!$C$3,6,1),3)+38))=6,DAY((DATE('Calendario anual'!$C$3,6,1)-WEEKDAY(DATE('Calendario anual'!$C$3,6,1),3)+38)),"")</f>
        <v/>
      </c>
      <c r="F15" s="14" t="str">
        <f aca="false">IF(MONTH((DATE('Calendario anual'!$C$3,6,1)-WEEKDAY(DATE('Calendario anual'!$C$3,6,1),3)+39))=6,DAY((DATE('Calendario anual'!$C$3,6,1)-WEEKDAY(DATE('Calendario anual'!$C$3,6,1),3)+39)),"")</f>
        <v/>
      </c>
      <c r="G15" s="15" t="str">
        <f aca="false">IF(MONTH((DATE('Calendario anual'!$C$3,6,1)-WEEKDAY(DATE('Calendario anual'!$C$3,6,1),3)+40))=6,DAY((DATE('Calendario anual'!$C$3,6,1)-WEEKDAY(DATE('Calendario anual'!$C$3,6,1),3)+40)),"")</f>
        <v/>
      </c>
      <c r="H15" s="16" t="str">
        <f aca="false">IF(MONTH((DATE('Calendario anual'!$C$3,6,1)-WEEKDAY(DATE('Calendario anual'!$C$3,6,1),3)+41))=6,DAY((DATE('Calendario anual'!$C$3,6,1)-WEEKDAY(DATE('Calendario anual'!$C$3,6,1),3)+41)),"")</f>
        <v/>
      </c>
      <c r="J15" s="17"/>
    </row>
    <row r="16" customFormat="false" ht="57.75" hidden="false" customHeight="true" outlineLevel="0" collapsed="false">
      <c r="B16" s="18"/>
      <c r="C16" s="18"/>
      <c r="D16" s="18"/>
      <c r="E16" s="18"/>
      <c r="F16" s="18"/>
      <c r="G16" s="19"/>
      <c r="H16" s="19"/>
      <c r="J16" s="17"/>
    </row>
    <row r="18" customFormat="false" ht="15" hidden="false" customHeight="false" outlineLevel="0" collapsed="false">
      <c r="B18" s="10" t="s">
        <v>21</v>
      </c>
    </row>
  </sheetData>
  <mergeCells count="1">
    <mergeCell ref="B2:H2"/>
  </mergeCells>
  <printOptions headings="false" gridLines="false" gridLinesSet="true" horizontalCentered="true" verticalCentered="false"/>
  <pageMargins left="0.35" right="0.35" top="0.4" bottom="0.55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19"/>
    <col collapsed="false" customWidth="true" hidden="false" outlineLevel="0" max="9" min="9" style="0" width="2"/>
    <col collapsed="false" customWidth="true" hidden="false" outlineLevel="0" max="10" min="10" style="0" width="32"/>
  </cols>
  <sheetData>
    <row r="2" customFormat="false" ht="39.75" hidden="false" customHeight="true" outlineLevel="0" collapsed="false">
      <c r="B2" s="11" t="str">
        <f aca="false">"JULIO "&amp;'Calendario anual'!$C$3</f>
        <v>JULIO 2027</v>
      </c>
      <c r="C2" s="11"/>
      <c r="D2" s="11"/>
      <c r="E2" s="11"/>
      <c r="F2" s="11"/>
      <c r="G2" s="11"/>
      <c r="H2" s="11"/>
    </row>
    <row r="4" customFormat="false" ht="21.75" hidden="false" customHeight="true" outlineLevel="0" collapsed="false">
      <c r="B4" s="12" t="s">
        <v>23</v>
      </c>
      <c r="C4" s="12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J4" s="13" t="s">
        <v>30</v>
      </c>
    </row>
    <row r="5" customFormat="false" ht="19.5" hidden="false" customHeight="true" outlineLevel="0" collapsed="false">
      <c r="B5" s="14" t="str">
        <f aca="false">IF(MONTH((DATE('Calendario anual'!$C$3,7,1)-WEEKDAY(DATE('Calendario anual'!$C$3,7,1),3)+0))=7,DAY((DATE('Calendario anual'!$C$3,7,1)-WEEKDAY(DATE('Calendario anual'!$C$3,7,1),3)+0)),"")</f>
        <v/>
      </c>
      <c r="C5" s="14" t="str">
        <f aca="false">IF(MONTH((DATE('Calendario anual'!$C$3,7,1)-WEEKDAY(DATE('Calendario anual'!$C$3,7,1),3)+1))=7,DAY((DATE('Calendario anual'!$C$3,7,1)-WEEKDAY(DATE('Calendario anual'!$C$3,7,1),3)+1)),"")</f>
        <v/>
      </c>
      <c r="D5" s="14" t="str">
        <f aca="false">IF(MONTH((DATE('Calendario anual'!$C$3,7,1)-WEEKDAY(DATE('Calendario anual'!$C$3,7,1),3)+2))=7,DAY((DATE('Calendario anual'!$C$3,7,1)-WEEKDAY(DATE('Calendario anual'!$C$3,7,1),3)+2)),"")</f>
        <v/>
      </c>
      <c r="E5" s="14" t="n">
        <f aca="false">IF(MONTH((DATE('Calendario anual'!$C$3,7,1)-WEEKDAY(DATE('Calendario anual'!$C$3,7,1),3)+3))=7,DAY((DATE('Calendario anual'!$C$3,7,1)-WEEKDAY(DATE('Calendario anual'!$C$3,7,1),3)+3)),"")</f>
        <v>1</v>
      </c>
      <c r="F5" s="14" t="n">
        <f aca="false">IF(MONTH((DATE('Calendario anual'!$C$3,7,1)-WEEKDAY(DATE('Calendario anual'!$C$3,7,1),3)+4))=7,DAY((DATE('Calendario anual'!$C$3,7,1)-WEEKDAY(DATE('Calendario anual'!$C$3,7,1),3)+4)),"")</f>
        <v>2</v>
      </c>
      <c r="G5" s="15" t="n">
        <f aca="false">IF(MONTH((DATE('Calendario anual'!$C$3,7,1)-WEEKDAY(DATE('Calendario anual'!$C$3,7,1),3)+5))=7,DAY((DATE('Calendario anual'!$C$3,7,1)-WEEKDAY(DATE('Calendario anual'!$C$3,7,1),3)+5)),"")</f>
        <v>3</v>
      </c>
      <c r="H5" s="16" t="n">
        <f aca="false">IF(MONTH((DATE('Calendario anual'!$C$3,7,1)-WEEKDAY(DATE('Calendario anual'!$C$3,7,1),3)+6))=7,DAY((DATE('Calendario anual'!$C$3,7,1)-WEEKDAY(DATE('Calendario anual'!$C$3,7,1),3)+6)),"")</f>
        <v>4</v>
      </c>
      <c r="J5" s="17"/>
    </row>
    <row r="6" customFormat="false" ht="57.75" hidden="false" customHeight="true" outlineLevel="0" collapsed="false">
      <c r="B6" s="18"/>
      <c r="C6" s="18"/>
      <c r="D6" s="18"/>
      <c r="E6" s="18"/>
      <c r="F6" s="18"/>
      <c r="G6" s="19"/>
      <c r="H6" s="19"/>
      <c r="J6" s="17"/>
    </row>
    <row r="7" customFormat="false" ht="19.5" hidden="false" customHeight="true" outlineLevel="0" collapsed="false">
      <c r="B7" s="14" t="n">
        <f aca="false">IF(MONTH((DATE('Calendario anual'!$C$3,7,1)-WEEKDAY(DATE('Calendario anual'!$C$3,7,1),3)+7))=7,DAY((DATE('Calendario anual'!$C$3,7,1)-WEEKDAY(DATE('Calendario anual'!$C$3,7,1),3)+7)),"")</f>
        <v>5</v>
      </c>
      <c r="C7" s="14" t="n">
        <f aca="false">IF(MONTH((DATE('Calendario anual'!$C$3,7,1)-WEEKDAY(DATE('Calendario anual'!$C$3,7,1),3)+8))=7,DAY((DATE('Calendario anual'!$C$3,7,1)-WEEKDAY(DATE('Calendario anual'!$C$3,7,1),3)+8)),"")</f>
        <v>6</v>
      </c>
      <c r="D7" s="14" t="n">
        <f aca="false">IF(MONTH((DATE('Calendario anual'!$C$3,7,1)-WEEKDAY(DATE('Calendario anual'!$C$3,7,1),3)+9))=7,DAY((DATE('Calendario anual'!$C$3,7,1)-WEEKDAY(DATE('Calendario anual'!$C$3,7,1),3)+9)),"")</f>
        <v>7</v>
      </c>
      <c r="E7" s="14" t="n">
        <f aca="false">IF(MONTH((DATE('Calendario anual'!$C$3,7,1)-WEEKDAY(DATE('Calendario anual'!$C$3,7,1),3)+10))=7,DAY((DATE('Calendario anual'!$C$3,7,1)-WEEKDAY(DATE('Calendario anual'!$C$3,7,1),3)+10)),"")</f>
        <v>8</v>
      </c>
      <c r="F7" s="14" t="n">
        <f aca="false">IF(MONTH((DATE('Calendario anual'!$C$3,7,1)-WEEKDAY(DATE('Calendario anual'!$C$3,7,1),3)+11))=7,DAY((DATE('Calendario anual'!$C$3,7,1)-WEEKDAY(DATE('Calendario anual'!$C$3,7,1),3)+11)),"")</f>
        <v>9</v>
      </c>
      <c r="G7" s="15" t="n">
        <f aca="false">IF(MONTH((DATE('Calendario anual'!$C$3,7,1)-WEEKDAY(DATE('Calendario anual'!$C$3,7,1),3)+12))=7,DAY((DATE('Calendario anual'!$C$3,7,1)-WEEKDAY(DATE('Calendario anual'!$C$3,7,1),3)+12)),"")</f>
        <v>10</v>
      </c>
      <c r="H7" s="16" t="n">
        <f aca="false">IF(MONTH((DATE('Calendario anual'!$C$3,7,1)-WEEKDAY(DATE('Calendario anual'!$C$3,7,1),3)+13))=7,DAY((DATE('Calendario anual'!$C$3,7,1)-WEEKDAY(DATE('Calendario anual'!$C$3,7,1),3)+13)),"")</f>
        <v>11</v>
      </c>
      <c r="J7" s="17"/>
    </row>
    <row r="8" customFormat="false" ht="57.75" hidden="false" customHeight="true" outlineLevel="0" collapsed="false">
      <c r="B8" s="18"/>
      <c r="C8" s="18"/>
      <c r="D8" s="18"/>
      <c r="E8" s="18"/>
      <c r="F8" s="18"/>
      <c r="G8" s="19"/>
      <c r="H8" s="19"/>
      <c r="J8" s="17"/>
    </row>
    <row r="9" customFormat="false" ht="19.5" hidden="false" customHeight="true" outlineLevel="0" collapsed="false">
      <c r="B9" s="14" t="n">
        <f aca="false">IF(MONTH((DATE('Calendario anual'!$C$3,7,1)-WEEKDAY(DATE('Calendario anual'!$C$3,7,1),3)+14))=7,DAY((DATE('Calendario anual'!$C$3,7,1)-WEEKDAY(DATE('Calendario anual'!$C$3,7,1),3)+14)),"")</f>
        <v>12</v>
      </c>
      <c r="C9" s="14" t="n">
        <f aca="false">IF(MONTH((DATE('Calendario anual'!$C$3,7,1)-WEEKDAY(DATE('Calendario anual'!$C$3,7,1),3)+15))=7,DAY((DATE('Calendario anual'!$C$3,7,1)-WEEKDAY(DATE('Calendario anual'!$C$3,7,1),3)+15)),"")</f>
        <v>13</v>
      </c>
      <c r="D9" s="14" t="n">
        <f aca="false">IF(MONTH((DATE('Calendario anual'!$C$3,7,1)-WEEKDAY(DATE('Calendario anual'!$C$3,7,1),3)+16))=7,DAY((DATE('Calendario anual'!$C$3,7,1)-WEEKDAY(DATE('Calendario anual'!$C$3,7,1),3)+16)),"")</f>
        <v>14</v>
      </c>
      <c r="E9" s="14" t="n">
        <f aca="false">IF(MONTH((DATE('Calendario anual'!$C$3,7,1)-WEEKDAY(DATE('Calendario anual'!$C$3,7,1),3)+17))=7,DAY((DATE('Calendario anual'!$C$3,7,1)-WEEKDAY(DATE('Calendario anual'!$C$3,7,1),3)+17)),"")</f>
        <v>15</v>
      </c>
      <c r="F9" s="14" t="n">
        <f aca="false">IF(MONTH((DATE('Calendario anual'!$C$3,7,1)-WEEKDAY(DATE('Calendario anual'!$C$3,7,1),3)+18))=7,DAY((DATE('Calendario anual'!$C$3,7,1)-WEEKDAY(DATE('Calendario anual'!$C$3,7,1),3)+18)),"")</f>
        <v>16</v>
      </c>
      <c r="G9" s="15" t="n">
        <f aca="false">IF(MONTH((DATE('Calendario anual'!$C$3,7,1)-WEEKDAY(DATE('Calendario anual'!$C$3,7,1),3)+19))=7,DAY((DATE('Calendario anual'!$C$3,7,1)-WEEKDAY(DATE('Calendario anual'!$C$3,7,1),3)+19)),"")</f>
        <v>17</v>
      </c>
      <c r="H9" s="16" t="n">
        <f aca="false">IF(MONTH((DATE('Calendario anual'!$C$3,7,1)-WEEKDAY(DATE('Calendario anual'!$C$3,7,1),3)+20))=7,DAY((DATE('Calendario anual'!$C$3,7,1)-WEEKDAY(DATE('Calendario anual'!$C$3,7,1),3)+20)),"")</f>
        <v>18</v>
      </c>
      <c r="J9" s="17"/>
    </row>
    <row r="10" customFormat="false" ht="57.75" hidden="false" customHeight="true" outlineLevel="0" collapsed="false">
      <c r="B10" s="18"/>
      <c r="C10" s="18"/>
      <c r="D10" s="18"/>
      <c r="E10" s="18"/>
      <c r="F10" s="18"/>
      <c r="G10" s="19"/>
      <c r="H10" s="19"/>
      <c r="J10" s="17"/>
    </row>
    <row r="11" customFormat="false" ht="19.5" hidden="false" customHeight="true" outlineLevel="0" collapsed="false">
      <c r="B11" s="14" t="n">
        <f aca="false">IF(MONTH((DATE('Calendario anual'!$C$3,7,1)-WEEKDAY(DATE('Calendario anual'!$C$3,7,1),3)+21))=7,DAY((DATE('Calendario anual'!$C$3,7,1)-WEEKDAY(DATE('Calendario anual'!$C$3,7,1),3)+21)),"")</f>
        <v>19</v>
      </c>
      <c r="C11" s="14" t="n">
        <f aca="false">IF(MONTH((DATE('Calendario anual'!$C$3,7,1)-WEEKDAY(DATE('Calendario anual'!$C$3,7,1),3)+22))=7,DAY((DATE('Calendario anual'!$C$3,7,1)-WEEKDAY(DATE('Calendario anual'!$C$3,7,1),3)+22)),"")</f>
        <v>20</v>
      </c>
      <c r="D11" s="14" t="n">
        <f aca="false">IF(MONTH((DATE('Calendario anual'!$C$3,7,1)-WEEKDAY(DATE('Calendario anual'!$C$3,7,1),3)+23))=7,DAY((DATE('Calendario anual'!$C$3,7,1)-WEEKDAY(DATE('Calendario anual'!$C$3,7,1),3)+23)),"")</f>
        <v>21</v>
      </c>
      <c r="E11" s="14" t="n">
        <f aca="false">IF(MONTH((DATE('Calendario anual'!$C$3,7,1)-WEEKDAY(DATE('Calendario anual'!$C$3,7,1),3)+24))=7,DAY((DATE('Calendario anual'!$C$3,7,1)-WEEKDAY(DATE('Calendario anual'!$C$3,7,1),3)+24)),"")</f>
        <v>22</v>
      </c>
      <c r="F11" s="14" t="n">
        <f aca="false">IF(MONTH((DATE('Calendario anual'!$C$3,7,1)-WEEKDAY(DATE('Calendario anual'!$C$3,7,1),3)+25))=7,DAY((DATE('Calendario anual'!$C$3,7,1)-WEEKDAY(DATE('Calendario anual'!$C$3,7,1),3)+25)),"")</f>
        <v>23</v>
      </c>
      <c r="G11" s="15" t="n">
        <f aca="false">IF(MONTH((DATE('Calendario anual'!$C$3,7,1)-WEEKDAY(DATE('Calendario anual'!$C$3,7,1),3)+26))=7,DAY((DATE('Calendario anual'!$C$3,7,1)-WEEKDAY(DATE('Calendario anual'!$C$3,7,1),3)+26)),"")</f>
        <v>24</v>
      </c>
      <c r="H11" s="16" t="n">
        <f aca="false">IF(MONTH((DATE('Calendario anual'!$C$3,7,1)-WEEKDAY(DATE('Calendario anual'!$C$3,7,1),3)+27))=7,DAY((DATE('Calendario anual'!$C$3,7,1)-WEEKDAY(DATE('Calendario anual'!$C$3,7,1),3)+27)),"")</f>
        <v>25</v>
      </c>
      <c r="J11" s="17"/>
    </row>
    <row r="12" customFormat="false" ht="57.75" hidden="false" customHeight="true" outlineLevel="0" collapsed="false">
      <c r="B12" s="18"/>
      <c r="C12" s="18"/>
      <c r="D12" s="18"/>
      <c r="E12" s="18"/>
      <c r="F12" s="18"/>
      <c r="G12" s="19"/>
      <c r="H12" s="19"/>
      <c r="J12" s="17"/>
    </row>
    <row r="13" customFormat="false" ht="19.5" hidden="false" customHeight="true" outlineLevel="0" collapsed="false">
      <c r="B13" s="14" t="n">
        <f aca="false">IF(MONTH((DATE('Calendario anual'!$C$3,7,1)-WEEKDAY(DATE('Calendario anual'!$C$3,7,1),3)+28))=7,DAY((DATE('Calendario anual'!$C$3,7,1)-WEEKDAY(DATE('Calendario anual'!$C$3,7,1),3)+28)),"")</f>
        <v>26</v>
      </c>
      <c r="C13" s="14" t="n">
        <f aca="false">IF(MONTH((DATE('Calendario anual'!$C$3,7,1)-WEEKDAY(DATE('Calendario anual'!$C$3,7,1),3)+29))=7,DAY((DATE('Calendario anual'!$C$3,7,1)-WEEKDAY(DATE('Calendario anual'!$C$3,7,1),3)+29)),"")</f>
        <v>27</v>
      </c>
      <c r="D13" s="14" t="n">
        <f aca="false">IF(MONTH((DATE('Calendario anual'!$C$3,7,1)-WEEKDAY(DATE('Calendario anual'!$C$3,7,1),3)+30))=7,DAY((DATE('Calendario anual'!$C$3,7,1)-WEEKDAY(DATE('Calendario anual'!$C$3,7,1),3)+30)),"")</f>
        <v>28</v>
      </c>
      <c r="E13" s="14" t="n">
        <f aca="false">IF(MONTH((DATE('Calendario anual'!$C$3,7,1)-WEEKDAY(DATE('Calendario anual'!$C$3,7,1),3)+31))=7,DAY((DATE('Calendario anual'!$C$3,7,1)-WEEKDAY(DATE('Calendario anual'!$C$3,7,1),3)+31)),"")</f>
        <v>29</v>
      </c>
      <c r="F13" s="14" t="n">
        <f aca="false">IF(MONTH((DATE('Calendario anual'!$C$3,7,1)-WEEKDAY(DATE('Calendario anual'!$C$3,7,1),3)+32))=7,DAY((DATE('Calendario anual'!$C$3,7,1)-WEEKDAY(DATE('Calendario anual'!$C$3,7,1),3)+32)),"")</f>
        <v>30</v>
      </c>
      <c r="G13" s="15" t="n">
        <f aca="false">IF(MONTH((DATE('Calendario anual'!$C$3,7,1)-WEEKDAY(DATE('Calendario anual'!$C$3,7,1),3)+33))=7,DAY((DATE('Calendario anual'!$C$3,7,1)-WEEKDAY(DATE('Calendario anual'!$C$3,7,1),3)+33)),"")</f>
        <v>31</v>
      </c>
      <c r="H13" s="16" t="str">
        <f aca="false">IF(MONTH((DATE('Calendario anual'!$C$3,7,1)-WEEKDAY(DATE('Calendario anual'!$C$3,7,1),3)+34))=7,DAY((DATE('Calendario anual'!$C$3,7,1)-WEEKDAY(DATE('Calendario anual'!$C$3,7,1),3)+34)),"")</f>
        <v/>
      </c>
      <c r="J13" s="17"/>
    </row>
    <row r="14" customFormat="false" ht="57.75" hidden="false" customHeight="true" outlineLevel="0" collapsed="false">
      <c r="B14" s="18"/>
      <c r="C14" s="18"/>
      <c r="D14" s="18"/>
      <c r="E14" s="18"/>
      <c r="F14" s="18"/>
      <c r="G14" s="19"/>
      <c r="H14" s="19"/>
      <c r="J14" s="17"/>
    </row>
    <row r="15" customFormat="false" ht="19.5" hidden="false" customHeight="true" outlineLevel="0" collapsed="false">
      <c r="B15" s="14" t="str">
        <f aca="false">IF(MONTH((DATE('Calendario anual'!$C$3,7,1)-WEEKDAY(DATE('Calendario anual'!$C$3,7,1),3)+35))=7,DAY((DATE('Calendario anual'!$C$3,7,1)-WEEKDAY(DATE('Calendario anual'!$C$3,7,1),3)+35)),"")</f>
        <v/>
      </c>
      <c r="C15" s="14" t="str">
        <f aca="false">IF(MONTH((DATE('Calendario anual'!$C$3,7,1)-WEEKDAY(DATE('Calendario anual'!$C$3,7,1),3)+36))=7,DAY((DATE('Calendario anual'!$C$3,7,1)-WEEKDAY(DATE('Calendario anual'!$C$3,7,1),3)+36)),"")</f>
        <v/>
      </c>
      <c r="D15" s="14" t="str">
        <f aca="false">IF(MONTH((DATE('Calendario anual'!$C$3,7,1)-WEEKDAY(DATE('Calendario anual'!$C$3,7,1),3)+37))=7,DAY((DATE('Calendario anual'!$C$3,7,1)-WEEKDAY(DATE('Calendario anual'!$C$3,7,1),3)+37)),"")</f>
        <v/>
      </c>
      <c r="E15" s="14" t="str">
        <f aca="false">IF(MONTH((DATE('Calendario anual'!$C$3,7,1)-WEEKDAY(DATE('Calendario anual'!$C$3,7,1),3)+38))=7,DAY((DATE('Calendario anual'!$C$3,7,1)-WEEKDAY(DATE('Calendario anual'!$C$3,7,1),3)+38)),"")</f>
        <v/>
      </c>
      <c r="F15" s="14" t="str">
        <f aca="false">IF(MONTH((DATE('Calendario anual'!$C$3,7,1)-WEEKDAY(DATE('Calendario anual'!$C$3,7,1),3)+39))=7,DAY((DATE('Calendario anual'!$C$3,7,1)-WEEKDAY(DATE('Calendario anual'!$C$3,7,1),3)+39)),"")</f>
        <v/>
      </c>
      <c r="G15" s="15" t="str">
        <f aca="false">IF(MONTH((DATE('Calendario anual'!$C$3,7,1)-WEEKDAY(DATE('Calendario anual'!$C$3,7,1),3)+40))=7,DAY((DATE('Calendario anual'!$C$3,7,1)-WEEKDAY(DATE('Calendario anual'!$C$3,7,1),3)+40)),"")</f>
        <v/>
      </c>
      <c r="H15" s="16" t="str">
        <f aca="false">IF(MONTH((DATE('Calendario anual'!$C$3,7,1)-WEEKDAY(DATE('Calendario anual'!$C$3,7,1),3)+41))=7,DAY((DATE('Calendario anual'!$C$3,7,1)-WEEKDAY(DATE('Calendario anual'!$C$3,7,1),3)+41)),"")</f>
        <v/>
      </c>
      <c r="J15" s="17"/>
    </row>
    <row r="16" customFormat="false" ht="57.75" hidden="false" customHeight="true" outlineLevel="0" collapsed="false">
      <c r="B16" s="18"/>
      <c r="C16" s="18"/>
      <c r="D16" s="18"/>
      <c r="E16" s="18"/>
      <c r="F16" s="18"/>
      <c r="G16" s="19"/>
      <c r="H16" s="19"/>
      <c r="J16" s="17"/>
    </row>
    <row r="18" customFormat="false" ht="15" hidden="false" customHeight="false" outlineLevel="0" collapsed="false">
      <c r="B18" s="10" t="s">
        <v>21</v>
      </c>
    </row>
  </sheetData>
  <mergeCells count="1">
    <mergeCell ref="B2:H2"/>
  </mergeCells>
  <printOptions headings="false" gridLines="false" gridLinesSet="true" horizontalCentered="true" verticalCentered="false"/>
  <pageMargins left="0.35" right="0.35" top="0.4" bottom="0.55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19"/>
    <col collapsed="false" customWidth="true" hidden="false" outlineLevel="0" max="9" min="9" style="0" width="2"/>
    <col collapsed="false" customWidth="true" hidden="false" outlineLevel="0" max="10" min="10" style="0" width="32"/>
  </cols>
  <sheetData>
    <row r="2" customFormat="false" ht="39.75" hidden="false" customHeight="true" outlineLevel="0" collapsed="false">
      <c r="B2" s="11" t="str">
        <f aca="false">"AGOSTO "&amp;'Calendario anual'!$C$3</f>
        <v>AGOSTO 2027</v>
      </c>
      <c r="C2" s="11"/>
      <c r="D2" s="11"/>
      <c r="E2" s="11"/>
      <c r="F2" s="11"/>
      <c r="G2" s="11"/>
      <c r="H2" s="11"/>
    </row>
    <row r="4" customFormat="false" ht="21.75" hidden="false" customHeight="true" outlineLevel="0" collapsed="false">
      <c r="B4" s="12" t="s">
        <v>23</v>
      </c>
      <c r="C4" s="12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J4" s="13" t="s">
        <v>30</v>
      </c>
    </row>
    <row r="5" customFormat="false" ht="19.5" hidden="false" customHeight="true" outlineLevel="0" collapsed="false">
      <c r="B5" s="14" t="str">
        <f aca="false">IF(MONTH((DATE('Calendario anual'!$C$3,8,1)-WEEKDAY(DATE('Calendario anual'!$C$3,8,1),3)+0))=8,DAY((DATE('Calendario anual'!$C$3,8,1)-WEEKDAY(DATE('Calendario anual'!$C$3,8,1),3)+0)),"")</f>
        <v/>
      </c>
      <c r="C5" s="14" t="str">
        <f aca="false">IF(MONTH((DATE('Calendario anual'!$C$3,8,1)-WEEKDAY(DATE('Calendario anual'!$C$3,8,1),3)+1))=8,DAY((DATE('Calendario anual'!$C$3,8,1)-WEEKDAY(DATE('Calendario anual'!$C$3,8,1),3)+1)),"")</f>
        <v/>
      </c>
      <c r="D5" s="14" t="str">
        <f aca="false">IF(MONTH((DATE('Calendario anual'!$C$3,8,1)-WEEKDAY(DATE('Calendario anual'!$C$3,8,1),3)+2))=8,DAY((DATE('Calendario anual'!$C$3,8,1)-WEEKDAY(DATE('Calendario anual'!$C$3,8,1),3)+2)),"")</f>
        <v/>
      </c>
      <c r="E5" s="14" t="str">
        <f aca="false">IF(MONTH((DATE('Calendario anual'!$C$3,8,1)-WEEKDAY(DATE('Calendario anual'!$C$3,8,1),3)+3))=8,DAY((DATE('Calendario anual'!$C$3,8,1)-WEEKDAY(DATE('Calendario anual'!$C$3,8,1),3)+3)),"")</f>
        <v/>
      </c>
      <c r="F5" s="14" t="str">
        <f aca="false">IF(MONTH((DATE('Calendario anual'!$C$3,8,1)-WEEKDAY(DATE('Calendario anual'!$C$3,8,1),3)+4))=8,DAY((DATE('Calendario anual'!$C$3,8,1)-WEEKDAY(DATE('Calendario anual'!$C$3,8,1),3)+4)),"")</f>
        <v/>
      </c>
      <c r="G5" s="15" t="str">
        <f aca="false">IF(MONTH((DATE('Calendario anual'!$C$3,8,1)-WEEKDAY(DATE('Calendario anual'!$C$3,8,1),3)+5))=8,DAY((DATE('Calendario anual'!$C$3,8,1)-WEEKDAY(DATE('Calendario anual'!$C$3,8,1),3)+5)),"")</f>
        <v/>
      </c>
      <c r="H5" s="16" t="n">
        <f aca="false">IF(MONTH((DATE('Calendario anual'!$C$3,8,1)-WEEKDAY(DATE('Calendario anual'!$C$3,8,1),3)+6))=8,DAY((DATE('Calendario anual'!$C$3,8,1)-WEEKDAY(DATE('Calendario anual'!$C$3,8,1),3)+6)),"")</f>
        <v>1</v>
      </c>
      <c r="J5" s="17"/>
    </row>
    <row r="6" customFormat="false" ht="57.75" hidden="false" customHeight="true" outlineLevel="0" collapsed="false">
      <c r="B6" s="18"/>
      <c r="C6" s="18"/>
      <c r="D6" s="18"/>
      <c r="E6" s="18"/>
      <c r="F6" s="18"/>
      <c r="G6" s="19"/>
      <c r="H6" s="19"/>
      <c r="J6" s="17"/>
    </row>
    <row r="7" customFormat="false" ht="19.5" hidden="false" customHeight="true" outlineLevel="0" collapsed="false">
      <c r="B7" s="14" t="n">
        <f aca="false">IF(MONTH((DATE('Calendario anual'!$C$3,8,1)-WEEKDAY(DATE('Calendario anual'!$C$3,8,1),3)+7))=8,DAY((DATE('Calendario anual'!$C$3,8,1)-WEEKDAY(DATE('Calendario anual'!$C$3,8,1),3)+7)),"")</f>
        <v>2</v>
      </c>
      <c r="C7" s="14" t="n">
        <f aca="false">IF(MONTH((DATE('Calendario anual'!$C$3,8,1)-WEEKDAY(DATE('Calendario anual'!$C$3,8,1),3)+8))=8,DAY((DATE('Calendario anual'!$C$3,8,1)-WEEKDAY(DATE('Calendario anual'!$C$3,8,1),3)+8)),"")</f>
        <v>3</v>
      </c>
      <c r="D7" s="14" t="n">
        <f aca="false">IF(MONTH((DATE('Calendario anual'!$C$3,8,1)-WEEKDAY(DATE('Calendario anual'!$C$3,8,1),3)+9))=8,DAY((DATE('Calendario anual'!$C$3,8,1)-WEEKDAY(DATE('Calendario anual'!$C$3,8,1),3)+9)),"")</f>
        <v>4</v>
      </c>
      <c r="E7" s="14" t="n">
        <f aca="false">IF(MONTH((DATE('Calendario anual'!$C$3,8,1)-WEEKDAY(DATE('Calendario anual'!$C$3,8,1),3)+10))=8,DAY((DATE('Calendario anual'!$C$3,8,1)-WEEKDAY(DATE('Calendario anual'!$C$3,8,1),3)+10)),"")</f>
        <v>5</v>
      </c>
      <c r="F7" s="14" t="n">
        <f aca="false">IF(MONTH((DATE('Calendario anual'!$C$3,8,1)-WEEKDAY(DATE('Calendario anual'!$C$3,8,1),3)+11))=8,DAY((DATE('Calendario anual'!$C$3,8,1)-WEEKDAY(DATE('Calendario anual'!$C$3,8,1),3)+11)),"")</f>
        <v>6</v>
      </c>
      <c r="G7" s="15" t="n">
        <f aca="false">IF(MONTH((DATE('Calendario anual'!$C$3,8,1)-WEEKDAY(DATE('Calendario anual'!$C$3,8,1),3)+12))=8,DAY((DATE('Calendario anual'!$C$3,8,1)-WEEKDAY(DATE('Calendario anual'!$C$3,8,1),3)+12)),"")</f>
        <v>7</v>
      </c>
      <c r="H7" s="16" t="n">
        <f aca="false">IF(MONTH((DATE('Calendario anual'!$C$3,8,1)-WEEKDAY(DATE('Calendario anual'!$C$3,8,1),3)+13))=8,DAY((DATE('Calendario anual'!$C$3,8,1)-WEEKDAY(DATE('Calendario anual'!$C$3,8,1),3)+13)),"")</f>
        <v>8</v>
      </c>
      <c r="J7" s="17"/>
    </row>
    <row r="8" customFormat="false" ht="57.75" hidden="false" customHeight="true" outlineLevel="0" collapsed="false">
      <c r="B8" s="18"/>
      <c r="C8" s="18"/>
      <c r="D8" s="18"/>
      <c r="E8" s="18"/>
      <c r="F8" s="18"/>
      <c r="G8" s="19"/>
      <c r="H8" s="19"/>
      <c r="J8" s="17"/>
    </row>
    <row r="9" customFormat="false" ht="19.5" hidden="false" customHeight="true" outlineLevel="0" collapsed="false">
      <c r="B9" s="14" t="n">
        <f aca="false">IF(MONTH((DATE('Calendario anual'!$C$3,8,1)-WEEKDAY(DATE('Calendario anual'!$C$3,8,1),3)+14))=8,DAY((DATE('Calendario anual'!$C$3,8,1)-WEEKDAY(DATE('Calendario anual'!$C$3,8,1),3)+14)),"")</f>
        <v>9</v>
      </c>
      <c r="C9" s="14" t="n">
        <f aca="false">IF(MONTH((DATE('Calendario anual'!$C$3,8,1)-WEEKDAY(DATE('Calendario anual'!$C$3,8,1),3)+15))=8,DAY((DATE('Calendario anual'!$C$3,8,1)-WEEKDAY(DATE('Calendario anual'!$C$3,8,1),3)+15)),"")</f>
        <v>10</v>
      </c>
      <c r="D9" s="14" t="n">
        <f aca="false">IF(MONTH((DATE('Calendario anual'!$C$3,8,1)-WEEKDAY(DATE('Calendario anual'!$C$3,8,1),3)+16))=8,DAY((DATE('Calendario anual'!$C$3,8,1)-WEEKDAY(DATE('Calendario anual'!$C$3,8,1),3)+16)),"")</f>
        <v>11</v>
      </c>
      <c r="E9" s="14" t="n">
        <f aca="false">IF(MONTH((DATE('Calendario anual'!$C$3,8,1)-WEEKDAY(DATE('Calendario anual'!$C$3,8,1),3)+17))=8,DAY((DATE('Calendario anual'!$C$3,8,1)-WEEKDAY(DATE('Calendario anual'!$C$3,8,1),3)+17)),"")</f>
        <v>12</v>
      </c>
      <c r="F9" s="14" t="n">
        <f aca="false">IF(MONTH((DATE('Calendario anual'!$C$3,8,1)-WEEKDAY(DATE('Calendario anual'!$C$3,8,1),3)+18))=8,DAY((DATE('Calendario anual'!$C$3,8,1)-WEEKDAY(DATE('Calendario anual'!$C$3,8,1),3)+18)),"")</f>
        <v>13</v>
      </c>
      <c r="G9" s="15" t="n">
        <f aca="false">IF(MONTH((DATE('Calendario anual'!$C$3,8,1)-WEEKDAY(DATE('Calendario anual'!$C$3,8,1),3)+19))=8,DAY((DATE('Calendario anual'!$C$3,8,1)-WEEKDAY(DATE('Calendario anual'!$C$3,8,1),3)+19)),"")</f>
        <v>14</v>
      </c>
      <c r="H9" s="16" t="n">
        <f aca="false">IF(MONTH((DATE('Calendario anual'!$C$3,8,1)-WEEKDAY(DATE('Calendario anual'!$C$3,8,1),3)+20))=8,DAY((DATE('Calendario anual'!$C$3,8,1)-WEEKDAY(DATE('Calendario anual'!$C$3,8,1),3)+20)),"")</f>
        <v>15</v>
      </c>
      <c r="J9" s="17"/>
    </row>
    <row r="10" customFormat="false" ht="57.75" hidden="false" customHeight="true" outlineLevel="0" collapsed="false">
      <c r="B10" s="18"/>
      <c r="C10" s="18"/>
      <c r="D10" s="18"/>
      <c r="E10" s="18"/>
      <c r="F10" s="18"/>
      <c r="G10" s="19"/>
      <c r="H10" s="19"/>
      <c r="J10" s="17"/>
    </row>
    <row r="11" customFormat="false" ht="19.5" hidden="false" customHeight="true" outlineLevel="0" collapsed="false">
      <c r="B11" s="14" t="n">
        <f aca="false">IF(MONTH((DATE('Calendario anual'!$C$3,8,1)-WEEKDAY(DATE('Calendario anual'!$C$3,8,1),3)+21))=8,DAY((DATE('Calendario anual'!$C$3,8,1)-WEEKDAY(DATE('Calendario anual'!$C$3,8,1),3)+21)),"")</f>
        <v>16</v>
      </c>
      <c r="C11" s="14" t="n">
        <f aca="false">IF(MONTH((DATE('Calendario anual'!$C$3,8,1)-WEEKDAY(DATE('Calendario anual'!$C$3,8,1),3)+22))=8,DAY((DATE('Calendario anual'!$C$3,8,1)-WEEKDAY(DATE('Calendario anual'!$C$3,8,1),3)+22)),"")</f>
        <v>17</v>
      </c>
      <c r="D11" s="14" t="n">
        <f aca="false">IF(MONTH((DATE('Calendario anual'!$C$3,8,1)-WEEKDAY(DATE('Calendario anual'!$C$3,8,1),3)+23))=8,DAY((DATE('Calendario anual'!$C$3,8,1)-WEEKDAY(DATE('Calendario anual'!$C$3,8,1),3)+23)),"")</f>
        <v>18</v>
      </c>
      <c r="E11" s="14" t="n">
        <f aca="false">IF(MONTH((DATE('Calendario anual'!$C$3,8,1)-WEEKDAY(DATE('Calendario anual'!$C$3,8,1),3)+24))=8,DAY((DATE('Calendario anual'!$C$3,8,1)-WEEKDAY(DATE('Calendario anual'!$C$3,8,1),3)+24)),"")</f>
        <v>19</v>
      </c>
      <c r="F11" s="14" t="n">
        <f aca="false">IF(MONTH((DATE('Calendario anual'!$C$3,8,1)-WEEKDAY(DATE('Calendario anual'!$C$3,8,1),3)+25))=8,DAY((DATE('Calendario anual'!$C$3,8,1)-WEEKDAY(DATE('Calendario anual'!$C$3,8,1),3)+25)),"")</f>
        <v>20</v>
      </c>
      <c r="G11" s="15" t="n">
        <f aca="false">IF(MONTH((DATE('Calendario anual'!$C$3,8,1)-WEEKDAY(DATE('Calendario anual'!$C$3,8,1),3)+26))=8,DAY((DATE('Calendario anual'!$C$3,8,1)-WEEKDAY(DATE('Calendario anual'!$C$3,8,1),3)+26)),"")</f>
        <v>21</v>
      </c>
      <c r="H11" s="16" t="n">
        <f aca="false">IF(MONTH((DATE('Calendario anual'!$C$3,8,1)-WEEKDAY(DATE('Calendario anual'!$C$3,8,1),3)+27))=8,DAY((DATE('Calendario anual'!$C$3,8,1)-WEEKDAY(DATE('Calendario anual'!$C$3,8,1),3)+27)),"")</f>
        <v>22</v>
      </c>
      <c r="J11" s="17"/>
    </row>
    <row r="12" customFormat="false" ht="57.75" hidden="false" customHeight="true" outlineLevel="0" collapsed="false">
      <c r="B12" s="18"/>
      <c r="C12" s="18"/>
      <c r="D12" s="18"/>
      <c r="E12" s="18"/>
      <c r="F12" s="18"/>
      <c r="G12" s="19"/>
      <c r="H12" s="19"/>
      <c r="J12" s="17"/>
    </row>
    <row r="13" customFormat="false" ht="19.5" hidden="false" customHeight="true" outlineLevel="0" collapsed="false">
      <c r="B13" s="14" t="n">
        <f aca="false">IF(MONTH((DATE('Calendario anual'!$C$3,8,1)-WEEKDAY(DATE('Calendario anual'!$C$3,8,1),3)+28))=8,DAY((DATE('Calendario anual'!$C$3,8,1)-WEEKDAY(DATE('Calendario anual'!$C$3,8,1),3)+28)),"")</f>
        <v>23</v>
      </c>
      <c r="C13" s="14" t="n">
        <f aca="false">IF(MONTH((DATE('Calendario anual'!$C$3,8,1)-WEEKDAY(DATE('Calendario anual'!$C$3,8,1),3)+29))=8,DAY((DATE('Calendario anual'!$C$3,8,1)-WEEKDAY(DATE('Calendario anual'!$C$3,8,1),3)+29)),"")</f>
        <v>24</v>
      </c>
      <c r="D13" s="14" t="n">
        <f aca="false">IF(MONTH((DATE('Calendario anual'!$C$3,8,1)-WEEKDAY(DATE('Calendario anual'!$C$3,8,1),3)+30))=8,DAY((DATE('Calendario anual'!$C$3,8,1)-WEEKDAY(DATE('Calendario anual'!$C$3,8,1),3)+30)),"")</f>
        <v>25</v>
      </c>
      <c r="E13" s="14" t="n">
        <f aca="false">IF(MONTH((DATE('Calendario anual'!$C$3,8,1)-WEEKDAY(DATE('Calendario anual'!$C$3,8,1),3)+31))=8,DAY((DATE('Calendario anual'!$C$3,8,1)-WEEKDAY(DATE('Calendario anual'!$C$3,8,1),3)+31)),"")</f>
        <v>26</v>
      </c>
      <c r="F13" s="14" t="n">
        <f aca="false">IF(MONTH((DATE('Calendario anual'!$C$3,8,1)-WEEKDAY(DATE('Calendario anual'!$C$3,8,1),3)+32))=8,DAY((DATE('Calendario anual'!$C$3,8,1)-WEEKDAY(DATE('Calendario anual'!$C$3,8,1),3)+32)),"")</f>
        <v>27</v>
      </c>
      <c r="G13" s="15" t="n">
        <f aca="false">IF(MONTH((DATE('Calendario anual'!$C$3,8,1)-WEEKDAY(DATE('Calendario anual'!$C$3,8,1),3)+33))=8,DAY((DATE('Calendario anual'!$C$3,8,1)-WEEKDAY(DATE('Calendario anual'!$C$3,8,1),3)+33)),"")</f>
        <v>28</v>
      </c>
      <c r="H13" s="16" t="n">
        <f aca="false">IF(MONTH((DATE('Calendario anual'!$C$3,8,1)-WEEKDAY(DATE('Calendario anual'!$C$3,8,1),3)+34))=8,DAY((DATE('Calendario anual'!$C$3,8,1)-WEEKDAY(DATE('Calendario anual'!$C$3,8,1),3)+34)),"")</f>
        <v>29</v>
      </c>
      <c r="J13" s="17"/>
    </row>
    <row r="14" customFormat="false" ht="57.75" hidden="false" customHeight="true" outlineLevel="0" collapsed="false">
      <c r="B14" s="18"/>
      <c r="C14" s="18"/>
      <c r="D14" s="18"/>
      <c r="E14" s="18"/>
      <c r="F14" s="18"/>
      <c r="G14" s="19"/>
      <c r="H14" s="19"/>
      <c r="J14" s="17"/>
    </row>
    <row r="15" customFormat="false" ht="19.5" hidden="false" customHeight="true" outlineLevel="0" collapsed="false">
      <c r="B15" s="14" t="n">
        <f aca="false">IF(MONTH((DATE('Calendario anual'!$C$3,8,1)-WEEKDAY(DATE('Calendario anual'!$C$3,8,1),3)+35))=8,DAY((DATE('Calendario anual'!$C$3,8,1)-WEEKDAY(DATE('Calendario anual'!$C$3,8,1),3)+35)),"")</f>
        <v>30</v>
      </c>
      <c r="C15" s="14" t="n">
        <f aca="false">IF(MONTH((DATE('Calendario anual'!$C$3,8,1)-WEEKDAY(DATE('Calendario anual'!$C$3,8,1),3)+36))=8,DAY((DATE('Calendario anual'!$C$3,8,1)-WEEKDAY(DATE('Calendario anual'!$C$3,8,1),3)+36)),"")</f>
        <v>31</v>
      </c>
      <c r="D15" s="14" t="str">
        <f aca="false">IF(MONTH((DATE('Calendario anual'!$C$3,8,1)-WEEKDAY(DATE('Calendario anual'!$C$3,8,1),3)+37))=8,DAY((DATE('Calendario anual'!$C$3,8,1)-WEEKDAY(DATE('Calendario anual'!$C$3,8,1),3)+37)),"")</f>
        <v/>
      </c>
      <c r="E15" s="14" t="str">
        <f aca="false">IF(MONTH((DATE('Calendario anual'!$C$3,8,1)-WEEKDAY(DATE('Calendario anual'!$C$3,8,1),3)+38))=8,DAY((DATE('Calendario anual'!$C$3,8,1)-WEEKDAY(DATE('Calendario anual'!$C$3,8,1),3)+38)),"")</f>
        <v/>
      </c>
      <c r="F15" s="14" t="str">
        <f aca="false">IF(MONTH((DATE('Calendario anual'!$C$3,8,1)-WEEKDAY(DATE('Calendario anual'!$C$3,8,1),3)+39))=8,DAY((DATE('Calendario anual'!$C$3,8,1)-WEEKDAY(DATE('Calendario anual'!$C$3,8,1),3)+39)),"")</f>
        <v/>
      </c>
      <c r="G15" s="15" t="str">
        <f aca="false">IF(MONTH((DATE('Calendario anual'!$C$3,8,1)-WEEKDAY(DATE('Calendario anual'!$C$3,8,1),3)+40))=8,DAY((DATE('Calendario anual'!$C$3,8,1)-WEEKDAY(DATE('Calendario anual'!$C$3,8,1),3)+40)),"")</f>
        <v/>
      </c>
      <c r="H15" s="16" t="str">
        <f aca="false">IF(MONTH((DATE('Calendario anual'!$C$3,8,1)-WEEKDAY(DATE('Calendario anual'!$C$3,8,1),3)+41))=8,DAY((DATE('Calendario anual'!$C$3,8,1)-WEEKDAY(DATE('Calendario anual'!$C$3,8,1),3)+41)),"")</f>
        <v/>
      </c>
      <c r="J15" s="17"/>
    </row>
    <row r="16" customFormat="false" ht="57.75" hidden="false" customHeight="true" outlineLevel="0" collapsed="false">
      <c r="B16" s="18"/>
      <c r="C16" s="18"/>
      <c r="D16" s="18"/>
      <c r="E16" s="18"/>
      <c r="F16" s="18"/>
      <c r="G16" s="19"/>
      <c r="H16" s="19"/>
      <c r="J16" s="17"/>
    </row>
    <row r="18" customFormat="false" ht="15" hidden="false" customHeight="false" outlineLevel="0" collapsed="false">
      <c r="B18" s="10" t="s">
        <v>21</v>
      </c>
    </row>
  </sheetData>
  <mergeCells count="1">
    <mergeCell ref="B2:H2"/>
  </mergeCells>
  <printOptions headings="false" gridLines="false" gridLinesSet="true" horizontalCentered="true" verticalCentered="false"/>
  <pageMargins left="0.35" right="0.35" top="0.4" bottom="0.55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19"/>
    <col collapsed="false" customWidth="true" hidden="false" outlineLevel="0" max="9" min="9" style="0" width="2"/>
    <col collapsed="false" customWidth="true" hidden="false" outlineLevel="0" max="10" min="10" style="0" width="32"/>
  </cols>
  <sheetData>
    <row r="2" customFormat="false" ht="39.75" hidden="false" customHeight="true" outlineLevel="0" collapsed="false">
      <c r="B2" s="11" t="str">
        <f aca="false">"SEPTIEMBRE "&amp;'Calendario anual'!$C$3</f>
        <v>SEPTIEMBRE 2027</v>
      </c>
      <c r="C2" s="11"/>
      <c r="D2" s="11"/>
      <c r="E2" s="11"/>
      <c r="F2" s="11"/>
      <c r="G2" s="11"/>
      <c r="H2" s="11"/>
    </row>
    <row r="4" customFormat="false" ht="21.75" hidden="false" customHeight="true" outlineLevel="0" collapsed="false">
      <c r="B4" s="12" t="s">
        <v>23</v>
      </c>
      <c r="C4" s="12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J4" s="13" t="s">
        <v>30</v>
      </c>
    </row>
    <row r="5" customFormat="false" ht="19.5" hidden="false" customHeight="true" outlineLevel="0" collapsed="false">
      <c r="B5" s="14" t="str">
        <f aca="false">IF(MONTH((DATE('Calendario anual'!$C$3,9,1)-WEEKDAY(DATE('Calendario anual'!$C$3,9,1),3)+0))=9,DAY((DATE('Calendario anual'!$C$3,9,1)-WEEKDAY(DATE('Calendario anual'!$C$3,9,1),3)+0)),"")</f>
        <v/>
      </c>
      <c r="C5" s="14" t="str">
        <f aca="false">IF(MONTH((DATE('Calendario anual'!$C$3,9,1)-WEEKDAY(DATE('Calendario anual'!$C$3,9,1),3)+1))=9,DAY((DATE('Calendario anual'!$C$3,9,1)-WEEKDAY(DATE('Calendario anual'!$C$3,9,1),3)+1)),"")</f>
        <v/>
      </c>
      <c r="D5" s="14" t="n">
        <f aca="false">IF(MONTH((DATE('Calendario anual'!$C$3,9,1)-WEEKDAY(DATE('Calendario anual'!$C$3,9,1),3)+2))=9,DAY((DATE('Calendario anual'!$C$3,9,1)-WEEKDAY(DATE('Calendario anual'!$C$3,9,1),3)+2)),"")</f>
        <v>1</v>
      </c>
      <c r="E5" s="14" t="n">
        <f aca="false">IF(MONTH((DATE('Calendario anual'!$C$3,9,1)-WEEKDAY(DATE('Calendario anual'!$C$3,9,1),3)+3))=9,DAY((DATE('Calendario anual'!$C$3,9,1)-WEEKDAY(DATE('Calendario anual'!$C$3,9,1),3)+3)),"")</f>
        <v>2</v>
      </c>
      <c r="F5" s="14" t="n">
        <f aca="false">IF(MONTH((DATE('Calendario anual'!$C$3,9,1)-WEEKDAY(DATE('Calendario anual'!$C$3,9,1),3)+4))=9,DAY((DATE('Calendario anual'!$C$3,9,1)-WEEKDAY(DATE('Calendario anual'!$C$3,9,1),3)+4)),"")</f>
        <v>3</v>
      </c>
      <c r="G5" s="15" t="n">
        <f aca="false">IF(MONTH((DATE('Calendario anual'!$C$3,9,1)-WEEKDAY(DATE('Calendario anual'!$C$3,9,1),3)+5))=9,DAY((DATE('Calendario anual'!$C$3,9,1)-WEEKDAY(DATE('Calendario anual'!$C$3,9,1),3)+5)),"")</f>
        <v>4</v>
      </c>
      <c r="H5" s="16" t="n">
        <f aca="false">IF(MONTH((DATE('Calendario anual'!$C$3,9,1)-WEEKDAY(DATE('Calendario anual'!$C$3,9,1),3)+6))=9,DAY((DATE('Calendario anual'!$C$3,9,1)-WEEKDAY(DATE('Calendario anual'!$C$3,9,1),3)+6)),"")</f>
        <v>5</v>
      </c>
      <c r="J5" s="17"/>
    </row>
    <row r="6" customFormat="false" ht="57.75" hidden="false" customHeight="true" outlineLevel="0" collapsed="false">
      <c r="B6" s="18"/>
      <c r="C6" s="18"/>
      <c r="D6" s="18"/>
      <c r="E6" s="18"/>
      <c r="F6" s="18"/>
      <c r="G6" s="19"/>
      <c r="H6" s="19"/>
      <c r="J6" s="17"/>
    </row>
    <row r="7" customFormat="false" ht="19.5" hidden="false" customHeight="true" outlineLevel="0" collapsed="false">
      <c r="B7" s="14" t="n">
        <f aca="false">IF(MONTH((DATE('Calendario anual'!$C$3,9,1)-WEEKDAY(DATE('Calendario anual'!$C$3,9,1),3)+7))=9,DAY((DATE('Calendario anual'!$C$3,9,1)-WEEKDAY(DATE('Calendario anual'!$C$3,9,1),3)+7)),"")</f>
        <v>6</v>
      </c>
      <c r="C7" s="14" t="n">
        <f aca="false">IF(MONTH((DATE('Calendario anual'!$C$3,9,1)-WEEKDAY(DATE('Calendario anual'!$C$3,9,1),3)+8))=9,DAY((DATE('Calendario anual'!$C$3,9,1)-WEEKDAY(DATE('Calendario anual'!$C$3,9,1),3)+8)),"")</f>
        <v>7</v>
      </c>
      <c r="D7" s="14" t="n">
        <f aca="false">IF(MONTH((DATE('Calendario anual'!$C$3,9,1)-WEEKDAY(DATE('Calendario anual'!$C$3,9,1),3)+9))=9,DAY((DATE('Calendario anual'!$C$3,9,1)-WEEKDAY(DATE('Calendario anual'!$C$3,9,1),3)+9)),"")</f>
        <v>8</v>
      </c>
      <c r="E7" s="14" t="n">
        <f aca="false">IF(MONTH((DATE('Calendario anual'!$C$3,9,1)-WEEKDAY(DATE('Calendario anual'!$C$3,9,1),3)+10))=9,DAY((DATE('Calendario anual'!$C$3,9,1)-WEEKDAY(DATE('Calendario anual'!$C$3,9,1),3)+10)),"")</f>
        <v>9</v>
      </c>
      <c r="F7" s="14" t="n">
        <f aca="false">IF(MONTH((DATE('Calendario anual'!$C$3,9,1)-WEEKDAY(DATE('Calendario anual'!$C$3,9,1),3)+11))=9,DAY((DATE('Calendario anual'!$C$3,9,1)-WEEKDAY(DATE('Calendario anual'!$C$3,9,1),3)+11)),"")</f>
        <v>10</v>
      </c>
      <c r="G7" s="15" t="n">
        <f aca="false">IF(MONTH((DATE('Calendario anual'!$C$3,9,1)-WEEKDAY(DATE('Calendario anual'!$C$3,9,1),3)+12))=9,DAY((DATE('Calendario anual'!$C$3,9,1)-WEEKDAY(DATE('Calendario anual'!$C$3,9,1),3)+12)),"")</f>
        <v>11</v>
      </c>
      <c r="H7" s="16" t="n">
        <f aca="false">IF(MONTH((DATE('Calendario anual'!$C$3,9,1)-WEEKDAY(DATE('Calendario anual'!$C$3,9,1),3)+13))=9,DAY((DATE('Calendario anual'!$C$3,9,1)-WEEKDAY(DATE('Calendario anual'!$C$3,9,1),3)+13)),"")</f>
        <v>12</v>
      </c>
      <c r="J7" s="17"/>
    </row>
    <row r="8" customFormat="false" ht="57.75" hidden="false" customHeight="true" outlineLevel="0" collapsed="false">
      <c r="B8" s="18"/>
      <c r="C8" s="18"/>
      <c r="D8" s="18"/>
      <c r="E8" s="18"/>
      <c r="F8" s="18"/>
      <c r="G8" s="19"/>
      <c r="H8" s="19"/>
      <c r="J8" s="17"/>
    </row>
    <row r="9" customFormat="false" ht="19.5" hidden="false" customHeight="true" outlineLevel="0" collapsed="false">
      <c r="B9" s="14" t="n">
        <f aca="false">IF(MONTH((DATE('Calendario anual'!$C$3,9,1)-WEEKDAY(DATE('Calendario anual'!$C$3,9,1),3)+14))=9,DAY((DATE('Calendario anual'!$C$3,9,1)-WEEKDAY(DATE('Calendario anual'!$C$3,9,1),3)+14)),"")</f>
        <v>13</v>
      </c>
      <c r="C9" s="14" t="n">
        <f aca="false">IF(MONTH((DATE('Calendario anual'!$C$3,9,1)-WEEKDAY(DATE('Calendario anual'!$C$3,9,1),3)+15))=9,DAY((DATE('Calendario anual'!$C$3,9,1)-WEEKDAY(DATE('Calendario anual'!$C$3,9,1),3)+15)),"")</f>
        <v>14</v>
      </c>
      <c r="D9" s="14" t="n">
        <f aca="false">IF(MONTH((DATE('Calendario anual'!$C$3,9,1)-WEEKDAY(DATE('Calendario anual'!$C$3,9,1),3)+16))=9,DAY((DATE('Calendario anual'!$C$3,9,1)-WEEKDAY(DATE('Calendario anual'!$C$3,9,1),3)+16)),"")</f>
        <v>15</v>
      </c>
      <c r="E9" s="14" t="n">
        <f aca="false">IF(MONTH((DATE('Calendario anual'!$C$3,9,1)-WEEKDAY(DATE('Calendario anual'!$C$3,9,1),3)+17))=9,DAY((DATE('Calendario anual'!$C$3,9,1)-WEEKDAY(DATE('Calendario anual'!$C$3,9,1),3)+17)),"")</f>
        <v>16</v>
      </c>
      <c r="F9" s="14" t="n">
        <f aca="false">IF(MONTH((DATE('Calendario anual'!$C$3,9,1)-WEEKDAY(DATE('Calendario anual'!$C$3,9,1),3)+18))=9,DAY((DATE('Calendario anual'!$C$3,9,1)-WEEKDAY(DATE('Calendario anual'!$C$3,9,1),3)+18)),"")</f>
        <v>17</v>
      </c>
      <c r="G9" s="15" t="n">
        <f aca="false">IF(MONTH((DATE('Calendario anual'!$C$3,9,1)-WEEKDAY(DATE('Calendario anual'!$C$3,9,1),3)+19))=9,DAY((DATE('Calendario anual'!$C$3,9,1)-WEEKDAY(DATE('Calendario anual'!$C$3,9,1),3)+19)),"")</f>
        <v>18</v>
      </c>
      <c r="H9" s="16" t="n">
        <f aca="false">IF(MONTH((DATE('Calendario anual'!$C$3,9,1)-WEEKDAY(DATE('Calendario anual'!$C$3,9,1),3)+20))=9,DAY((DATE('Calendario anual'!$C$3,9,1)-WEEKDAY(DATE('Calendario anual'!$C$3,9,1),3)+20)),"")</f>
        <v>19</v>
      </c>
      <c r="J9" s="17"/>
    </row>
    <row r="10" customFormat="false" ht="57.75" hidden="false" customHeight="true" outlineLevel="0" collapsed="false">
      <c r="B10" s="18"/>
      <c r="C10" s="18"/>
      <c r="D10" s="18"/>
      <c r="E10" s="18"/>
      <c r="F10" s="18"/>
      <c r="G10" s="19"/>
      <c r="H10" s="19"/>
      <c r="J10" s="17"/>
    </row>
    <row r="11" customFormat="false" ht="19.5" hidden="false" customHeight="true" outlineLevel="0" collapsed="false">
      <c r="B11" s="14" t="n">
        <f aca="false">IF(MONTH((DATE('Calendario anual'!$C$3,9,1)-WEEKDAY(DATE('Calendario anual'!$C$3,9,1),3)+21))=9,DAY((DATE('Calendario anual'!$C$3,9,1)-WEEKDAY(DATE('Calendario anual'!$C$3,9,1),3)+21)),"")</f>
        <v>20</v>
      </c>
      <c r="C11" s="14" t="n">
        <f aca="false">IF(MONTH((DATE('Calendario anual'!$C$3,9,1)-WEEKDAY(DATE('Calendario anual'!$C$3,9,1),3)+22))=9,DAY((DATE('Calendario anual'!$C$3,9,1)-WEEKDAY(DATE('Calendario anual'!$C$3,9,1),3)+22)),"")</f>
        <v>21</v>
      </c>
      <c r="D11" s="14" t="n">
        <f aca="false">IF(MONTH((DATE('Calendario anual'!$C$3,9,1)-WEEKDAY(DATE('Calendario anual'!$C$3,9,1),3)+23))=9,DAY((DATE('Calendario anual'!$C$3,9,1)-WEEKDAY(DATE('Calendario anual'!$C$3,9,1),3)+23)),"")</f>
        <v>22</v>
      </c>
      <c r="E11" s="14" t="n">
        <f aca="false">IF(MONTH((DATE('Calendario anual'!$C$3,9,1)-WEEKDAY(DATE('Calendario anual'!$C$3,9,1),3)+24))=9,DAY((DATE('Calendario anual'!$C$3,9,1)-WEEKDAY(DATE('Calendario anual'!$C$3,9,1),3)+24)),"")</f>
        <v>23</v>
      </c>
      <c r="F11" s="14" t="n">
        <f aca="false">IF(MONTH((DATE('Calendario anual'!$C$3,9,1)-WEEKDAY(DATE('Calendario anual'!$C$3,9,1),3)+25))=9,DAY((DATE('Calendario anual'!$C$3,9,1)-WEEKDAY(DATE('Calendario anual'!$C$3,9,1),3)+25)),"")</f>
        <v>24</v>
      </c>
      <c r="G11" s="15" t="n">
        <f aca="false">IF(MONTH((DATE('Calendario anual'!$C$3,9,1)-WEEKDAY(DATE('Calendario anual'!$C$3,9,1),3)+26))=9,DAY((DATE('Calendario anual'!$C$3,9,1)-WEEKDAY(DATE('Calendario anual'!$C$3,9,1),3)+26)),"")</f>
        <v>25</v>
      </c>
      <c r="H11" s="16" t="n">
        <f aca="false">IF(MONTH((DATE('Calendario anual'!$C$3,9,1)-WEEKDAY(DATE('Calendario anual'!$C$3,9,1),3)+27))=9,DAY((DATE('Calendario anual'!$C$3,9,1)-WEEKDAY(DATE('Calendario anual'!$C$3,9,1),3)+27)),"")</f>
        <v>26</v>
      </c>
      <c r="J11" s="17"/>
    </row>
    <row r="12" customFormat="false" ht="57.75" hidden="false" customHeight="true" outlineLevel="0" collapsed="false">
      <c r="B12" s="18"/>
      <c r="C12" s="18"/>
      <c r="D12" s="18"/>
      <c r="E12" s="18"/>
      <c r="F12" s="18"/>
      <c r="G12" s="19"/>
      <c r="H12" s="19"/>
      <c r="J12" s="17"/>
    </row>
    <row r="13" customFormat="false" ht="19.5" hidden="false" customHeight="true" outlineLevel="0" collapsed="false">
      <c r="B13" s="14" t="n">
        <f aca="false">IF(MONTH((DATE('Calendario anual'!$C$3,9,1)-WEEKDAY(DATE('Calendario anual'!$C$3,9,1),3)+28))=9,DAY((DATE('Calendario anual'!$C$3,9,1)-WEEKDAY(DATE('Calendario anual'!$C$3,9,1),3)+28)),"")</f>
        <v>27</v>
      </c>
      <c r="C13" s="14" t="n">
        <f aca="false">IF(MONTH((DATE('Calendario anual'!$C$3,9,1)-WEEKDAY(DATE('Calendario anual'!$C$3,9,1),3)+29))=9,DAY((DATE('Calendario anual'!$C$3,9,1)-WEEKDAY(DATE('Calendario anual'!$C$3,9,1),3)+29)),"")</f>
        <v>28</v>
      </c>
      <c r="D13" s="14" t="n">
        <f aca="false">IF(MONTH((DATE('Calendario anual'!$C$3,9,1)-WEEKDAY(DATE('Calendario anual'!$C$3,9,1),3)+30))=9,DAY((DATE('Calendario anual'!$C$3,9,1)-WEEKDAY(DATE('Calendario anual'!$C$3,9,1),3)+30)),"")</f>
        <v>29</v>
      </c>
      <c r="E13" s="14" t="n">
        <f aca="false">IF(MONTH((DATE('Calendario anual'!$C$3,9,1)-WEEKDAY(DATE('Calendario anual'!$C$3,9,1),3)+31))=9,DAY((DATE('Calendario anual'!$C$3,9,1)-WEEKDAY(DATE('Calendario anual'!$C$3,9,1),3)+31)),"")</f>
        <v>30</v>
      </c>
      <c r="F13" s="14" t="str">
        <f aca="false">IF(MONTH((DATE('Calendario anual'!$C$3,9,1)-WEEKDAY(DATE('Calendario anual'!$C$3,9,1),3)+32))=9,DAY((DATE('Calendario anual'!$C$3,9,1)-WEEKDAY(DATE('Calendario anual'!$C$3,9,1),3)+32)),"")</f>
        <v/>
      </c>
      <c r="G13" s="15" t="str">
        <f aca="false">IF(MONTH((DATE('Calendario anual'!$C$3,9,1)-WEEKDAY(DATE('Calendario anual'!$C$3,9,1),3)+33))=9,DAY((DATE('Calendario anual'!$C$3,9,1)-WEEKDAY(DATE('Calendario anual'!$C$3,9,1),3)+33)),"")</f>
        <v/>
      </c>
      <c r="H13" s="16" t="str">
        <f aca="false">IF(MONTH((DATE('Calendario anual'!$C$3,9,1)-WEEKDAY(DATE('Calendario anual'!$C$3,9,1),3)+34))=9,DAY((DATE('Calendario anual'!$C$3,9,1)-WEEKDAY(DATE('Calendario anual'!$C$3,9,1),3)+34)),"")</f>
        <v/>
      </c>
      <c r="J13" s="17"/>
    </row>
    <row r="14" customFormat="false" ht="57.75" hidden="false" customHeight="true" outlineLevel="0" collapsed="false">
      <c r="B14" s="18"/>
      <c r="C14" s="18"/>
      <c r="D14" s="18"/>
      <c r="E14" s="18"/>
      <c r="F14" s="18"/>
      <c r="G14" s="19"/>
      <c r="H14" s="19"/>
      <c r="J14" s="17"/>
    </row>
    <row r="15" customFormat="false" ht="19.5" hidden="false" customHeight="true" outlineLevel="0" collapsed="false">
      <c r="B15" s="14" t="str">
        <f aca="false">IF(MONTH((DATE('Calendario anual'!$C$3,9,1)-WEEKDAY(DATE('Calendario anual'!$C$3,9,1),3)+35))=9,DAY((DATE('Calendario anual'!$C$3,9,1)-WEEKDAY(DATE('Calendario anual'!$C$3,9,1),3)+35)),"")</f>
        <v/>
      </c>
      <c r="C15" s="14" t="str">
        <f aca="false">IF(MONTH((DATE('Calendario anual'!$C$3,9,1)-WEEKDAY(DATE('Calendario anual'!$C$3,9,1),3)+36))=9,DAY((DATE('Calendario anual'!$C$3,9,1)-WEEKDAY(DATE('Calendario anual'!$C$3,9,1),3)+36)),"")</f>
        <v/>
      </c>
      <c r="D15" s="14" t="str">
        <f aca="false">IF(MONTH((DATE('Calendario anual'!$C$3,9,1)-WEEKDAY(DATE('Calendario anual'!$C$3,9,1),3)+37))=9,DAY((DATE('Calendario anual'!$C$3,9,1)-WEEKDAY(DATE('Calendario anual'!$C$3,9,1),3)+37)),"")</f>
        <v/>
      </c>
      <c r="E15" s="14" t="str">
        <f aca="false">IF(MONTH((DATE('Calendario anual'!$C$3,9,1)-WEEKDAY(DATE('Calendario anual'!$C$3,9,1),3)+38))=9,DAY((DATE('Calendario anual'!$C$3,9,1)-WEEKDAY(DATE('Calendario anual'!$C$3,9,1),3)+38)),"")</f>
        <v/>
      </c>
      <c r="F15" s="14" t="str">
        <f aca="false">IF(MONTH((DATE('Calendario anual'!$C$3,9,1)-WEEKDAY(DATE('Calendario anual'!$C$3,9,1),3)+39))=9,DAY((DATE('Calendario anual'!$C$3,9,1)-WEEKDAY(DATE('Calendario anual'!$C$3,9,1),3)+39)),"")</f>
        <v/>
      </c>
      <c r="G15" s="15" t="str">
        <f aca="false">IF(MONTH((DATE('Calendario anual'!$C$3,9,1)-WEEKDAY(DATE('Calendario anual'!$C$3,9,1),3)+40))=9,DAY((DATE('Calendario anual'!$C$3,9,1)-WEEKDAY(DATE('Calendario anual'!$C$3,9,1),3)+40)),"")</f>
        <v/>
      </c>
      <c r="H15" s="16" t="str">
        <f aca="false">IF(MONTH((DATE('Calendario anual'!$C$3,9,1)-WEEKDAY(DATE('Calendario anual'!$C$3,9,1),3)+41))=9,DAY((DATE('Calendario anual'!$C$3,9,1)-WEEKDAY(DATE('Calendario anual'!$C$3,9,1),3)+41)),"")</f>
        <v/>
      </c>
      <c r="J15" s="17"/>
    </row>
    <row r="16" customFormat="false" ht="57.75" hidden="false" customHeight="true" outlineLevel="0" collapsed="false">
      <c r="B16" s="18"/>
      <c r="C16" s="18"/>
      <c r="D16" s="18"/>
      <c r="E16" s="18"/>
      <c r="F16" s="18"/>
      <c r="G16" s="19"/>
      <c r="H16" s="19"/>
      <c r="J16" s="17"/>
    </row>
    <row r="18" customFormat="false" ht="15" hidden="false" customHeight="false" outlineLevel="0" collapsed="false">
      <c r="B18" s="10" t="s">
        <v>21</v>
      </c>
    </row>
  </sheetData>
  <mergeCells count="1">
    <mergeCell ref="B2:H2"/>
  </mergeCells>
  <printOptions headings="false" gridLines="false" gridLinesSet="true" horizontalCentered="true" verticalCentered="false"/>
  <pageMargins left="0.35" right="0.35" top="0.4" bottom="0.55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19"/>
    <col collapsed="false" customWidth="true" hidden="false" outlineLevel="0" max="9" min="9" style="0" width="2"/>
    <col collapsed="false" customWidth="true" hidden="false" outlineLevel="0" max="10" min="10" style="0" width="32"/>
  </cols>
  <sheetData>
    <row r="2" customFormat="false" ht="39.75" hidden="false" customHeight="true" outlineLevel="0" collapsed="false">
      <c r="B2" s="11" t="str">
        <f aca="false">"OCTUBRE "&amp;'Calendario anual'!$C$3</f>
        <v>OCTUBRE 2027</v>
      </c>
      <c r="C2" s="11"/>
      <c r="D2" s="11"/>
      <c r="E2" s="11"/>
      <c r="F2" s="11"/>
      <c r="G2" s="11"/>
      <c r="H2" s="11"/>
    </row>
    <row r="4" customFormat="false" ht="21.75" hidden="false" customHeight="true" outlineLevel="0" collapsed="false">
      <c r="B4" s="12" t="s">
        <v>23</v>
      </c>
      <c r="C4" s="12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J4" s="13" t="s">
        <v>30</v>
      </c>
    </row>
    <row r="5" customFormat="false" ht="19.5" hidden="false" customHeight="true" outlineLevel="0" collapsed="false">
      <c r="B5" s="14" t="str">
        <f aca="false">IF(MONTH((DATE('Calendario anual'!$C$3,10,1)-WEEKDAY(DATE('Calendario anual'!$C$3,10,1),3)+0))=10,DAY((DATE('Calendario anual'!$C$3,10,1)-WEEKDAY(DATE('Calendario anual'!$C$3,10,1),3)+0)),"")</f>
        <v/>
      </c>
      <c r="C5" s="14" t="str">
        <f aca="false">IF(MONTH((DATE('Calendario anual'!$C$3,10,1)-WEEKDAY(DATE('Calendario anual'!$C$3,10,1),3)+1))=10,DAY((DATE('Calendario anual'!$C$3,10,1)-WEEKDAY(DATE('Calendario anual'!$C$3,10,1),3)+1)),"")</f>
        <v/>
      </c>
      <c r="D5" s="14" t="str">
        <f aca="false">IF(MONTH((DATE('Calendario anual'!$C$3,10,1)-WEEKDAY(DATE('Calendario anual'!$C$3,10,1),3)+2))=10,DAY((DATE('Calendario anual'!$C$3,10,1)-WEEKDAY(DATE('Calendario anual'!$C$3,10,1),3)+2)),"")</f>
        <v/>
      </c>
      <c r="E5" s="14" t="str">
        <f aca="false">IF(MONTH((DATE('Calendario anual'!$C$3,10,1)-WEEKDAY(DATE('Calendario anual'!$C$3,10,1),3)+3))=10,DAY((DATE('Calendario anual'!$C$3,10,1)-WEEKDAY(DATE('Calendario anual'!$C$3,10,1),3)+3)),"")</f>
        <v/>
      </c>
      <c r="F5" s="14" t="n">
        <f aca="false">IF(MONTH((DATE('Calendario anual'!$C$3,10,1)-WEEKDAY(DATE('Calendario anual'!$C$3,10,1),3)+4))=10,DAY((DATE('Calendario anual'!$C$3,10,1)-WEEKDAY(DATE('Calendario anual'!$C$3,10,1),3)+4)),"")</f>
        <v>1</v>
      </c>
      <c r="G5" s="15" t="n">
        <f aca="false">IF(MONTH((DATE('Calendario anual'!$C$3,10,1)-WEEKDAY(DATE('Calendario anual'!$C$3,10,1),3)+5))=10,DAY((DATE('Calendario anual'!$C$3,10,1)-WEEKDAY(DATE('Calendario anual'!$C$3,10,1),3)+5)),"")</f>
        <v>2</v>
      </c>
      <c r="H5" s="16" t="n">
        <f aca="false">IF(MONTH((DATE('Calendario anual'!$C$3,10,1)-WEEKDAY(DATE('Calendario anual'!$C$3,10,1),3)+6))=10,DAY((DATE('Calendario anual'!$C$3,10,1)-WEEKDAY(DATE('Calendario anual'!$C$3,10,1),3)+6)),"")</f>
        <v>3</v>
      </c>
      <c r="J5" s="17"/>
    </row>
    <row r="6" customFormat="false" ht="57.75" hidden="false" customHeight="true" outlineLevel="0" collapsed="false">
      <c r="B6" s="18"/>
      <c r="C6" s="18"/>
      <c r="D6" s="18"/>
      <c r="E6" s="18"/>
      <c r="F6" s="18"/>
      <c r="G6" s="19"/>
      <c r="H6" s="19"/>
      <c r="J6" s="17"/>
    </row>
    <row r="7" customFormat="false" ht="19.5" hidden="false" customHeight="true" outlineLevel="0" collapsed="false">
      <c r="B7" s="14" t="n">
        <f aca="false">IF(MONTH((DATE('Calendario anual'!$C$3,10,1)-WEEKDAY(DATE('Calendario anual'!$C$3,10,1),3)+7))=10,DAY((DATE('Calendario anual'!$C$3,10,1)-WEEKDAY(DATE('Calendario anual'!$C$3,10,1),3)+7)),"")</f>
        <v>4</v>
      </c>
      <c r="C7" s="14" t="n">
        <f aca="false">IF(MONTH((DATE('Calendario anual'!$C$3,10,1)-WEEKDAY(DATE('Calendario anual'!$C$3,10,1),3)+8))=10,DAY((DATE('Calendario anual'!$C$3,10,1)-WEEKDAY(DATE('Calendario anual'!$C$3,10,1),3)+8)),"")</f>
        <v>5</v>
      </c>
      <c r="D7" s="14" t="n">
        <f aca="false">IF(MONTH((DATE('Calendario anual'!$C$3,10,1)-WEEKDAY(DATE('Calendario anual'!$C$3,10,1),3)+9))=10,DAY((DATE('Calendario anual'!$C$3,10,1)-WEEKDAY(DATE('Calendario anual'!$C$3,10,1),3)+9)),"")</f>
        <v>6</v>
      </c>
      <c r="E7" s="14" t="n">
        <f aca="false">IF(MONTH((DATE('Calendario anual'!$C$3,10,1)-WEEKDAY(DATE('Calendario anual'!$C$3,10,1),3)+10))=10,DAY((DATE('Calendario anual'!$C$3,10,1)-WEEKDAY(DATE('Calendario anual'!$C$3,10,1),3)+10)),"")</f>
        <v>7</v>
      </c>
      <c r="F7" s="14" t="n">
        <f aca="false">IF(MONTH((DATE('Calendario anual'!$C$3,10,1)-WEEKDAY(DATE('Calendario anual'!$C$3,10,1),3)+11))=10,DAY((DATE('Calendario anual'!$C$3,10,1)-WEEKDAY(DATE('Calendario anual'!$C$3,10,1),3)+11)),"")</f>
        <v>8</v>
      </c>
      <c r="G7" s="15" t="n">
        <f aca="false">IF(MONTH((DATE('Calendario anual'!$C$3,10,1)-WEEKDAY(DATE('Calendario anual'!$C$3,10,1),3)+12))=10,DAY((DATE('Calendario anual'!$C$3,10,1)-WEEKDAY(DATE('Calendario anual'!$C$3,10,1),3)+12)),"")</f>
        <v>9</v>
      </c>
      <c r="H7" s="16" t="n">
        <f aca="false">IF(MONTH((DATE('Calendario anual'!$C$3,10,1)-WEEKDAY(DATE('Calendario anual'!$C$3,10,1),3)+13))=10,DAY((DATE('Calendario anual'!$C$3,10,1)-WEEKDAY(DATE('Calendario anual'!$C$3,10,1),3)+13)),"")</f>
        <v>10</v>
      </c>
      <c r="J7" s="17"/>
    </row>
    <row r="8" customFormat="false" ht="57.75" hidden="false" customHeight="true" outlineLevel="0" collapsed="false">
      <c r="B8" s="18"/>
      <c r="C8" s="18"/>
      <c r="D8" s="18"/>
      <c r="E8" s="18"/>
      <c r="F8" s="18"/>
      <c r="G8" s="19"/>
      <c r="H8" s="19"/>
      <c r="J8" s="17"/>
    </row>
    <row r="9" customFormat="false" ht="19.5" hidden="false" customHeight="true" outlineLevel="0" collapsed="false">
      <c r="B9" s="14" t="n">
        <f aca="false">IF(MONTH((DATE('Calendario anual'!$C$3,10,1)-WEEKDAY(DATE('Calendario anual'!$C$3,10,1),3)+14))=10,DAY((DATE('Calendario anual'!$C$3,10,1)-WEEKDAY(DATE('Calendario anual'!$C$3,10,1),3)+14)),"")</f>
        <v>11</v>
      </c>
      <c r="C9" s="14" t="n">
        <f aca="false">IF(MONTH((DATE('Calendario anual'!$C$3,10,1)-WEEKDAY(DATE('Calendario anual'!$C$3,10,1),3)+15))=10,DAY((DATE('Calendario anual'!$C$3,10,1)-WEEKDAY(DATE('Calendario anual'!$C$3,10,1),3)+15)),"")</f>
        <v>12</v>
      </c>
      <c r="D9" s="14" t="n">
        <f aca="false">IF(MONTH((DATE('Calendario anual'!$C$3,10,1)-WEEKDAY(DATE('Calendario anual'!$C$3,10,1),3)+16))=10,DAY((DATE('Calendario anual'!$C$3,10,1)-WEEKDAY(DATE('Calendario anual'!$C$3,10,1),3)+16)),"")</f>
        <v>13</v>
      </c>
      <c r="E9" s="14" t="n">
        <f aca="false">IF(MONTH((DATE('Calendario anual'!$C$3,10,1)-WEEKDAY(DATE('Calendario anual'!$C$3,10,1),3)+17))=10,DAY((DATE('Calendario anual'!$C$3,10,1)-WEEKDAY(DATE('Calendario anual'!$C$3,10,1),3)+17)),"")</f>
        <v>14</v>
      </c>
      <c r="F9" s="14" t="n">
        <f aca="false">IF(MONTH((DATE('Calendario anual'!$C$3,10,1)-WEEKDAY(DATE('Calendario anual'!$C$3,10,1),3)+18))=10,DAY((DATE('Calendario anual'!$C$3,10,1)-WEEKDAY(DATE('Calendario anual'!$C$3,10,1),3)+18)),"")</f>
        <v>15</v>
      </c>
      <c r="G9" s="15" t="n">
        <f aca="false">IF(MONTH((DATE('Calendario anual'!$C$3,10,1)-WEEKDAY(DATE('Calendario anual'!$C$3,10,1),3)+19))=10,DAY((DATE('Calendario anual'!$C$3,10,1)-WEEKDAY(DATE('Calendario anual'!$C$3,10,1),3)+19)),"")</f>
        <v>16</v>
      </c>
      <c r="H9" s="16" t="n">
        <f aca="false">IF(MONTH((DATE('Calendario anual'!$C$3,10,1)-WEEKDAY(DATE('Calendario anual'!$C$3,10,1),3)+20))=10,DAY((DATE('Calendario anual'!$C$3,10,1)-WEEKDAY(DATE('Calendario anual'!$C$3,10,1),3)+20)),"")</f>
        <v>17</v>
      </c>
      <c r="J9" s="17"/>
    </row>
    <row r="10" customFormat="false" ht="57.75" hidden="false" customHeight="true" outlineLevel="0" collapsed="false">
      <c r="B10" s="18"/>
      <c r="C10" s="18"/>
      <c r="D10" s="18"/>
      <c r="E10" s="18"/>
      <c r="F10" s="18"/>
      <c r="G10" s="19"/>
      <c r="H10" s="19"/>
      <c r="J10" s="17"/>
    </row>
    <row r="11" customFormat="false" ht="19.5" hidden="false" customHeight="true" outlineLevel="0" collapsed="false">
      <c r="B11" s="14" t="n">
        <f aca="false">IF(MONTH((DATE('Calendario anual'!$C$3,10,1)-WEEKDAY(DATE('Calendario anual'!$C$3,10,1),3)+21))=10,DAY((DATE('Calendario anual'!$C$3,10,1)-WEEKDAY(DATE('Calendario anual'!$C$3,10,1),3)+21)),"")</f>
        <v>18</v>
      </c>
      <c r="C11" s="14" t="n">
        <f aca="false">IF(MONTH((DATE('Calendario anual'!$C$3,10,1)-WEEKDAY(DATE('Calendario anual'!$C$3,10,1),3)+22))=10,DAY((DATE('Calendario anual'!$C$3,10,1)-WEEKDAY(DATE('Calendario anual'!$C$3,10,1),3)+22)),"")</f>
        <v>19</v>
      </c>
      <c r="D11" s="14" t="n">
        <f aca="false">IF(MONTH((DATE('Calendario anual'!$C$3,10,1)-WEEKDAY(DATE('Calendario anual'!$C$3,10,1),3)+23))=10,DAY((DATE('Calendario anual'!$C$3,10,1)-WEEKDAY(DATE('Calendario anual'!$C$3,10,1),3)+23)),"")</f>
        <v>20</v>
      </c>
      <c r="E11" s="14" t="n">
        <f aca="false">IF(MONTH((DATE('Calendario anual'!$C$3,10,1)-WEEKDAY(DATE('Calendario anual'!$C$3,10,1),3)+24))=10,DAY((DATE('Calendario anual'!$C$3,10,1)-WEEKDAY(DATE('Calendario anual'!$C$3,10,1),3)+24)),"")</f>
        <v>21</v>
      </c>
      <c r="F11" s="14" t="n">
        <f aca="false">IF(MONTH((DATE('Calendario anual'!$C$3,10,1)-WEEKDAY(DATE('Calendario anual'!$C$3,10,1),3)+25))=10,DAY((DATE('Calendario anual'!$C$3,10,1)-WEEKDAY(DATE('Calendario anual'!$C$3,10,1),3)+25)),"")</f>
        <v>22</v>
      </c>
      <c r="G11" s="15" t="n">
        <f aca="false">IF(MONTH((DATE('Calendario anual'!$C$3,10,1)-WEEKDAY(DATE('Calendario anual'!$C$3,10,1),3)+26))=10,DAY((DATE('Calendario anual'!$C$3,10,1)-WEEKDAY(DATE('Calendario anual'!$C$3,10,1),3)+26)),"")</f>
        <v>23</v>
      </c>
      <c r="H11" s="16" t="n">
        <f aca="false">IF(MONTH((DATE('Calendario anual'!$C$3,10,1)-WEEKDAY(DATE('Calendario anual'!$C$3,10,1),3)+27))=10,DAY((DATE('Calendario anual'!$C$3,10,1)-WEEKDAY(DATE('Calendario anual'!$C$3,10,1),3)+27)),"")</f>
        <v>24</v>
      </c>
      <c r="J11" s="17"/>
    </row>
    <row r="12" customFormat="false" ht="57.75" hidden="false" customHeight="true" outlineLevel="0" collapsed="false">
      <c r="B12" s="18"/>
      <c r="C12" s="18"/>
      <c r="D12" s="18"/>
      <c r="E12" s="18"/>
      <c r="F12" s="18"/>
      <c r="G12" s="19"/>
      <c r="H12" s="19"/>
      <c r="J12" s="17"/>
    </row>
    <row r="13" customFormat="false" ht="19.5" hidden="false" customHeight="true" outlineLevel="0" collapsed="false">
      <c r="B13" s="14" t="n">
        <f aca="false">IF(MONTH((DATE('Calendario anual'!$C$3,10,1)-WEEKDAY(DATE('Calendario anual'!$C$3,10,1),3)+28))=10,DAY((DATE('Calendario anual'!$C$3,10,1)-WEEKDAY(DATE('Calendario anual'!$C$3,10,1),3)+28)),"")</f>
        <v>25</v>
      </c>
      <c r="C13" s="14" t="n">
        <f aca="false">IF(MONTH((DATE('Calendario anual'!$C$3,10,1)-WEEKDAY(DATE('Calendario anual'!$C$3,10,1),3)+29))=10,DAY((DATE('Calendario anual'!$C$3,10,1)-WEEKDAY(DATE('Calendario anual'!$C$3,10,1),3)+29)),"")</f>
        <v>26</v>
      </c>
      <c r="D13" s="14" t="n">
        <f aca="false">IF(MONTH((DATE('Calendario anual'!$C$3,10,1)-WEEKDAY(DATE('Calendario anual'!$C$3,10,1),3)+30))=10,DAY((DATE('Calendario anual'!$C$3,10,1)-WEEKDAY(DATE('Calendario anual'!$C$3,10,1),3)+30)),"")</f>
        <v>27</v>
      </c>
      <c r="E13" s="14" t="n">
        <f aca="false">IF(MONTH((DATE('Calendario anual'!$C$3,10,1)-WEEKDAY(DATE('Calendario anual'!$C$3,10,1),3)+31))=10,DAY((DATE('Calendario anual'!$C$3,10,1)-WEEKDAY(DATE('Calendario anual'!$C$3,10,1),3)+31)),"")</f>
        <v>28</v>
      </c>
      <c r="F13" s="14" t="n">
        <f aca="false">IF(MONTH((DATE('Calendario anual'!$C$3,10,1)-WEEKDAY(DATE('Calendario anual'!$C$3,10,1),3)+32))=10,DAY((DATE('Calendario anual'!$C$3,10,1)-WEEKDAY(DATE('Calendario anual'!$C$3,10,1),3)+32)),"")</f>
        <v>29</v>
      </c>
      <c r="G13" s="15" t="n">
        <f aca="false">IF(MONTH((DATE('Calendario anual'!$C$3,10,1)-WEEKDAY(DATE('Calendario anual'!$C$3,10,1),3)+33))=10,DAY((DATE('Calendario anual'!$C$3,10,1)-WEEKDAY(DATE('Calendario anual'!$C$3,10,1),3)+33)),"")</f>
        <v>30</v>
      </c>
      <c r="H13" s="16" t="n">
        <f aca="false">IF(MONTH((DATE('Calendario anual'!$C$3,10,1)-WEEKDAY(DATE('Calendario anual'!$C$3,10,1),3)+34))=10,DAY((DATE('Calendario anual'!$C$3,10,1)-WEEKDAY(DATE('Calendario anual'!$C$3,10,1),3)+34)),"")</f>
        <v>31</v>
      </c>
      <c r="J13" s="17"/>
    </row>
    <row r="14" customFormat="false" ht="57.75" hidden="false" customHeight="true" outlineLevel="0" collapsed="false">
      <c r="B14" s="18"/>
      <c r="C14" s="18"/>
      <c r="D14" s="18"/>
      <c r="E14" s="18"/>
      <c r="F14" s="18"/>
      <c r="G14" s="19"/>
      <c r="H14" s="19"/>
      <c r="J14" s="17"/>
    </row>
    <row r="15" customFormat="false" ht="19.5" hidden="false" customHeight="true" outlineLevel="0" collapsed="false">
      <c r="B15" s="14" t="str">
        <f aca="false">IF(MONTH((DATE('Calendario anual'!$C$3,10,1)-WEEKDAY(DATE('Calendario anual'!$C$3,10,1),3)+35))=10,DAY((DATE('Calendario anual'!$C$3,10,1)-WEEKDAY(DATE('Calendario anual'!$C$3,10,1),3)+35)),"")</f>
        <v/>
      </c>
      <c r="C15" s="14" t="str">
        <f aca="false">IF(MONTH((DATE('Calendario anual'!$C$3,10,1)-WEEKDAY(DATE('Calendario anual'!$C$3,10,1),3)+36))=10,DAY((DATE('Calendario anual'!$C$3,10,1)-WEEKDAY(DATE('Calendario anual'!$C$3,10,1),3)+36)),"")</f>
        <v/>
      </c>
      <c r="D15" s="14" t="str">
        <f aca="false">IF(MONTH((DATE('Calendario anual'!$C$3,10,1)-WEEKDAY(DATE('Calendario anual'!$C$3,10,1),3)+37))=10,DAY((DATE('Calendario anual'!$C$3,10,1)-WEEKDAY(DATE('Calendario anual'!$C$3,10,1),3)+37)),"")</f>
        <v/>
      </c>
      <c r="E15" s="14" t="str">
        <f aca="false">IF(MONTH((DATE('Calendario anual'!$C$3,10,1)-WEEKDAY(DATE('Calendario anual'!$C$3,10,1),3)+38))=10,DAY((DATE('Calendario anual'!$C$3,10,1)-WEEKDAY(DATE('Calendario anual'!$C$3,10,1),3)+38)),"")</f>
        <v/>
      </c>
      <c r="F15" s="14" t="str">
        <f aca="false">IF(MONTH((DATE('Calendario anual'!$C$3,10,1)-WEEKDAY(DATE('Calendario anual'!$C$3,10,1),3)+39))=10,DAY((DATE('Calendario anual'!$C$3,10,1)-WEEKDAY(DATE('Calendario anual'!$C$3,10,1),3)+39)),"")</f>
        <v/>
      </c>
      <c r="G15" s="15" t="str">
        <f aca="false">IF(MONTH((DATE('Calendario anual'!$C$3,10,1)-WEEKDAY(DATE('Calendario anual'!$C$3,10,1),3)+40))=10,DAY((DATE('Calendario anual'!$C$3,10,1)-WEEKDAY(DATE('Calendario anual'!$C$3,10,1),3)+40)),"")</f>
        <v/>
      </c>
      <c r="H15" s="16" t="str">
        <f aca="false">IF(MONTH((DATE('Calendario anual'!$C$3,10,1)-WEEKDAY(DATE('Calendario anual'!$C$3,10,1),3)+41))=10,DAY((DATE('Calendario anual'!$C$3,10,1)-WEEKDAY(DATE('Calendario anual'!$C$3,10,1),3)+41)),"")</f>
        <v/>
      </c>
      <c r="J15" s="17"/>
    </row>
    <row r="16" customFormat="false" ht="57.75" hidden="false" customHeight="true" outlineLevel="0" collapsed="false">
      <c r="B16" s="18"/>
      <c r="C16" s="18"/>
      <c r="D16" s="18"/>
      <c r="E16" s="18"/>
      <c r="F16" s="18"/>
      <c r="G16" s="19"/>
      <c r="H16" s="19"/>
      <c r="J16" s="17"/>
    </row>
    <row r="18" customFormat="false" ht="15" hidden="false" customHeight="false" outlineLevel="0" collapsed="false">
      <c r="B18" s="10" t="s">
        <v>21</v>
      </c>
    </row>
  </sheetData>
  <mergeCells count="1">
    <mergeCell ref="B2:H2"/>
  </mergeCells>
  <printOptions headings="false" gridLines="false" gridLinesSet="true" horizontalCentered="true" verticalCentered="false"/>
  <pageMargins left="0.35" right="0.35" top="0.4" bottom="0.55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19"/>
    <col collapsed="false" customWidth="true" hidden="false" outlineLevel="0" max="9" min="9" style="0" width="2"/>
    <col collapsed="false" customWidth="true" hidden="false" outlineLevel="0" max="10" min="10" style="0" width="32"/>
  </cols>
  <sheetData>
    <row r="2" customFormat="false" ht="39.75" hidden="false" customHeight="true" outlineLevel="0" collapsed="false">
      <c r="B2" s="11" t="str">
        <f aca="false">"NOVIEMBRE "&amp;'Calendario anual'!$C$3</f>
        <v>NOVIEMBRE 2027</v>
      </c>
      <c r="C2" s="11"/>
      <c r="D2" s="11"/>
      <c r="E2" s="11"/>
      <c r="F2" s="11"/>
      <c r="G2" s="11"/>
      <c r="H2" s="11"/>
    </row>
    <row r="4" customFormat="false" ht="21.75" hidden="false" customHeight="true" outlineLevel="0" collapsed="false">
      <c r="B4" s="12" t="s">
        <v>23</v>
      </c>
      <c r="C4" s="12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J4" s="13" t="s">
        <v>30</v>
      </c>
    </row>
    <row r="5" customFormat="false" ht="19.5" hidden="false" customHeight="true" outlineLevel="0" collapsed="false">
      <c r="B5" s="14" t="n">
        <f aca="false">IF(MONTH((DATE('Calendario anual'!$C$3,11,1)-WEEKDAY(DATE('Calendario anual'!$C$3,11,1),3)+0))=11,DAY((DATE('Calendario anual'!$C$3,11,1)-WEEKDAY(DATE('Calendario anual'!$C$3,11,1),3)+0)),"")</f>
        <v>1</v>
      </c>
      <c r="C5" s="14" t="n">
        <f aca="false">IF(MONTH((DATE('Calendario anual'!$C$3,11,1)-WEEKDAY(DATE('Calendario anual'!$C$3,11,1),3)+1))=11,DAY((DATE('Calendario anual'!$C$3,11,1)-WEEKDAY(DATE('Calendario anual'!$C$3,11,1),3)+1)),"")</f>
        <v>2</v>
      </c>
      <c r="D5" s="14" t="n">
        <f aca="false">IF(MONTH((DATE('Calendario anual'!$C$3,11,1)-WEEKDAY(DATE('Calendario anual'!$C$3,11,1),3)+2))=11,DAY((DATE('Calendario anual'!$C$3,11,1)-WEEKDAY(DATE('Calendario anual'!$C$3,11,1),3)+2)),"")</f>
        <v>3</v>
      </c>
      <c r="E5" s="14" t="n">
        <f aca="false">IF(MONTH((DATE('Calendario anual'!$C$3,11,1)-WEEKDAY(DATE('Calendario anual'!$C$3,11,1),3)+3))=11,DAY((DATE('Calendario anual'!$C$3,11,1)-WEEKDAY(DATE('Calendario anual'!$C$3,11,1),3)+3)),"")</f>
        <v>4</v>
      </c>
      <c r="F5" s="14" t="n">
        <f aca="false">IF(MONTH((DATE('Calendario anual'!$C$3,11,1)-WEEKDAY(DATE('Calendario anual'!$C$3,11,1),3)+4))=11,DAY((DATE('Calendario anual'!$C$3,11,1)-WEEKDAY(DATE('Calendario anual'!$C$3,11,1),3)+4)),"")</f>
        <v>5</v>
      </c>
      <c r="G5" s="15" t="n">
        <f aca="false">IF(MONTH((DATE('Calendario anual'!$C$3,11,1)-WEEKDAY(DATE('Calendario anual'!$C$3,11,1),3)+5))=11,DAY((DATE('Calendario anual'!$C$3,11,1)-WEEKDAY(DATE('Calendario anual'!$C$3,11,1),3)+5)),"")</f>
        <v>6</v>
      </c>
      <c r="H5" s="16" t="n">
        <f aca="false">IF(MONTH((DATE('Calendario anual'!$C$3,11,1)-WEEKDAY(DATE('Calendario anual'!$C$3,11,1),3)+6))=11,DAY((DATE('Calendario anual'!$C$3,11,1)-WEEKDAY(DATE('Calendario anual'!$C$3,11,1),3)+6)),"")</f>
        <v>7</v>
      </c>
      <c r="J5" s="17"/>
    </row>
    <row r="6" customFormat="false" ht="57.75" hidden="false" customHeight="true" outlineLevel="0" collapsed="false">
      <c r="B6" s="18"/>
      <c r="C6" s="18"/>
      <c r="D6" s="18"/>
      <c r="E6" s="18"/>
      <c r="F6" s="18"/>
      <c r="G6" s="19"/>
      <c r="H6" s="19"/>
      <c r="J6" s="17"/>
    </row>
    <row r="7" customFormat="false" ht="19.5" hidden="false" customHeight="true" outlineLevel="0" collapsed="false">
      <c r="B7" s="14" t="n">
        <f aca="false">IF(MONTH((DATE('Calendario anual'!$C$3,11,1)-WEEKDAY(DATE('Calendario anual'!$C$3,11,1),3)+7))=11,DAY((DATE('Calendario anual'!$C$3,11,1)-WEEKDAY(DATE('Calendario anual'!$C$3,11,1),3)+7)),"")</f>
        <v>8</v>
      </c>
      <c r="C7" s="14" t="n">
        <f aca="false">IF(MONTH((DATE('Calendario anual'!$C$3,11,1)-WEEKDAY(DATE('Calendario anual'!$C$3,11,1),3)+8))=11,DAY((DATE('Calendario anual'!$C$3,11,1)-WEEKDAY(DATE('Calendario anual'!$C$3,11,1),3)+8)),"")</f>
        <v>9</v>
      </c>
      <c r="D7" s="14" t="n">
        <f aca="false">IF(MONTH((DATE('Calendario anual'!$C$3,11,1)-WEEKDAY(DATE('Calendario anual'!$C$3,11,1),3)+9))=11,DAY((DATE('Calendario anual'!$C$3,11,1)-WEEKDAY(DATE('Calendario anual'!$C$3,11,1),3)+9)),"")</f>
        <v>10</v>
      </c>
      <c r="E7" s="14" t="n">
        <f aca="false">IF(MONTH((DATE('Calendario anual'!$C$3,11,1)-WEEKDAY(DATE('Calendario anual'!$C$3,11,1),3)+10))=11,DAY((DATE('Calendario anual'!$C$3,11,1)-WEEKDAY(DATE('Calendario anual'!$C$3,11,1),3)+10)),"")</f>
        <v>11</v>
      </c>
      <c r="F7" s="14" t="n">
        <f aca="false">IF(MONTH((DATE('Calendario anual'!$C$3,11,1)-WEEKDAY(DATE('Calendario anual'!$C$3,11,1),3)+11))=11,DAY((DATE('Calendario anual'!$C$3,11,1)-WEEKDAY(DATE('Calendario anual'!$C$3,11,1),3)+11)),"")</f>
        <v>12</v>
      </c>
      <c r="G7" s="15" t="n">
        <f aca="false">IF(MONTH((DATE('Calendario anual'!$C$3,11,1)-WEEKDAY(DATE('Calendario anual'!$C$3,11,1),3)+12))=11,DAY((DATE('Calendario anual'!$C$3,11,1)-WEEKDAY(DATE('Calendario anual'!$C$3,11,1),3)+12)),"")</f>
        <v>13</v>
      </c>
      <c r="H7" s="16" t="n">
        <f aca="false">IF(MONTH((DATE('Calendario anual'!$C$3,11,1)-WEEKDAY(DATE('Calendario anual'!$C$3,11,1),3)+13))=11,DAY((DATE('Calendario anual'!$C$3,11,1)-WEEKDAY(DATE('Calendario anual'!$C$3,11,1),3)+13)),"")</f>
        <v>14</v>
      </c>
      <c r="J7" s="17"/>
    </row>
    <row r="8" customFormat="false" ht="57.75" hidden="false" customHeight="true" outlineLevel="0" collapsed="false">
      <c r="B8" s="18"/>
      <c r="C8" s="18"/>
      <c r="D8" s="18"/>
      <c r="E8" s="18"/>
      <c r="F8" s="18"/>
      <c r="G8" s="19"/>
      <c r="H8" s="19"/>
      <c r="J8" s="17"/>
    </row>
    <row r="9" customFormat="false" ht="19.5" hidden="false" customHeight="true" outlineLevel="0" collapsed="false">
      <c r="B9" s="14" t="n">
        <f aca="false">IF(MONTH((DATE('Calendario anual'!$C$3,11,1)-WEEKDAY(DATE('Calendario anual'!$C$3,11,1),3)+14))=11,DAY((DATE('Calendario anual'!$C$3,11,1)-WEEKDAY(DATE('Calendario anual'!$C$3,11,1),3)+14)),"")</f>
        <v>15</v>
      </c>
      <c r="C9" s="14" t="n">
        <f aca="false">IF(MONTH((DATE('Calendario anual'!$C$3,11,1)-WEEKDAY(DATE('Calendario anual'!$C$3,11,1),3)+15))=11,DAY((DATE('Calendario anual'!$C$3,11,1)-WEEKDAY(DATE('Calendario anual'!$C$3,11,1),3)+15)),"")</f>
        <v>16</v>
      </c>
      <c r="D9" s="14" t="n">
        <f aca="false">IF(MONTH((DATE('Calendario anual'!$C$3,11,1)-WEEKDAY(DATE('Calendario anual'!$C$3,11,1),3)+16))=11,DAY((DATE('Calendario anual'!$C$3,11,1)-WEEKDAY(DATE('Calendario anual'!$C$3,11,1),3)+16)),"")</f>
        <v>17</v>
      </c>
      <c r="E9" s="14" t="n">
        <f aca="false">IF(MONTH((DATE('Calendario anual'!$C$3,11,1)-WEEKDAY(DATE('Calendario anual'!$C$3,11,1),3)+17))=11,DAY((DATE('Calendario anual'!$C$3,11,1)-WEEKDAY(DATE('Calendario anual'!$C$3,11,1),3)+17)),"")</f>
        <v>18</v>
      </c>
      <c r="F9" s="14" t="n">
        <f aca="false">IF(MONTH((DATE('Calendario anual'!$C$3,11,1)-WEEKDAY(DATE('Calendario anual'!$C$3,11,1),3)+18))=11,DAY((DATE('Calendario anual'!$C$3,11,1)-WEEKDAY(DATE('Calendario anual'!$C$3,11,1),3)+18)),"")</f>
        <v>19</v>
      </c>
      <c r="G9" s="15" t="n">
        <f aca="false">IF(MONTH((DATE('Calendario anual'!$C$3,11,1)-WEEKDAY(DATE('Calendario anual'!$C$3,11,1),3)+19))=11,DAY((DATE('Calendario anual'!$C$3,11,1)-WEEKDAY(DATE('Calendario anual'!$C$3,11,1),3)+19)),"")</f>
        <v>20</v>
      </c>
      <c r="H9" s="16" t="n">
        <f aca="false">IF(MONTH((DATE('Calendario anual'!$C$3,11,1)-WEEKDAY(DATE('Calendario anual'!$C$3,11,1),3)+20))=11,DAY((DATE('Calendario anual'!$C$3,11,1)-WEEKDAY(DATE('Calendario anual'!$C$3,11,1),3)+20)),"")</f>
        <v>21</v>
      </c>
      <c r="J9" s="17"/>
    </row>
    <row r="10" customFormat="false" ht="57.75" hidden="false" customHeight="true" outlineLevel="0" collapsed="false">
      <c r="B10" s="18"/>
      <c r="C10" s="18"/>
      <c r="D10" s="18"/>
      <c r="E10" s="18"/>
      <c r="F10" s="18"/>
      <c r="G10" s="19"/>
      <c r="H10" s="19"/>
      <c r="J10" s="17"/>
    </row>
    <row r="11" customFormat="false" ht="19.5" hidden="false" customHeight="true" outlineLevel="0" collapsed="false">
      <c r="B11" s="14" t="n">
        <f aca="false">IF(MONTH((DATE('Calendario anual'!$C$3,11,1)-WEEKDAY(DATE('Calendario anual'!$C$3,11,1),3)+21))=11,DAY((DATE('Calendario anual'!$C$3,11,1)-WEEKDAY(DATE('Calendario anual'!$C$3,11,1),3)+21)),"")</f>
        <v>22</v>
      </c>
      <c r="C11" s="14" t="n">
        <f aca="false">IF(MONTH((DATE('Calendario anual'!$C$3,11,1)-WEEKDAY(DATE('Calendario anual'!$C$3,11,1),3)+22))=11,DAY((DATE('Calendario anual'!$C$3,11,1)-WEEKDAY(DATE('Calendario anual'!$C$3,11,1),3)+22)),"")</f>
        <v>23</v>
      </c>
      <c r="D11" s="14" t="n">
        <f aca="false">IF(MONTH((DATE('Calendario anual'!$C$3,11,1)-WEEKDAY(DATE('Calendario anual'!$C$3,11,1),3)+23))=11,DAY((DATE('Calendario anual'!$C$3,11,1)-WEEKDAY(DATE('Calendario anual'!$C$3,11,1),3)+23)),"")</f>
        <v>24</v>
      </c>
      <c r="E11" s="14" t="n">
        <f aca="false">IF(MONTH((DATE('Calendario anual'!$C$3,11,1)-WEEKDAY(DATE('Calendario anual'!$C$3,11,1),3)+24))=11,DAY((DATE('Calendario anual'!$C$3,11,1)-WEEKDAY(DATE('Calendario anual'!$C$3,11,1),3)+24)),"")</f>
        <v>25</v>
      </c>
      <c r="F11" s="14" t="n">
        <f aca="false">IF(MONTH((DATE('Calendario anual'!$C$3,11,1)-WEEKDAY(DATE('Calendario anual'!$C$3,11,1),3)+25))=11,DAY((DATE('Calendario anual'!$C$3,11,1)-WEEKDAY(DATE('Calendario anual'!$C$3,11,1),3)+25)),"")</f>
        <v>26</v>
      </c>
      <c r="G11" s="15" t="n">
        <f aca="false">IF(MONTH((DATE('Calendario anual'!$C$3,11,1)-WEEKDAY(DATE('Calendario anual'!$C$3,11,1),3)+26))=11,DAY((DATE('Calendario anual'!$C$3,11,1)-WEEKDAY(DATE('Calendario anual'!$C$3,11,1),3)+26)),"")</f>
        <v>27</v>
      </c>
      <c r="H11" s="16" t="n">
        <f aca="false">IF(MONTH((DATE('Calendario anual'!$C$3,11,1)-WEEKDAY(DATE('Calendario anual'!$C$3,11,1),3)+27))=11,DAY((DATE('Calendario anual'!$C$3,11,1)-WEEKDAY(DATE('Calendario anual'!$C$3,11,1),3)+27)),"")</f>
        <v>28</v>
      </c>
      <c r="J11" s="17"/>
    </row>
    <row r="12" customFormat="false" ht="57.75" hidden="false" customHeight="true" outlineLevel="0" collapsed="false">
      <c r="B12" s="18"/>
      <c r="C12" s="18"/>
      <c r="D12" s="18"/>
      <c r="E12" s="18"/>
      <c r="F12" s="18"/>
      <c r="G12" s="19"/>
      <c r="H12" s="19"/>
      <c r="J12" s="17"/>
    </row>
    <row r="13" customFormat="false" ht="19.5" hidden="false" customHeight="true" outlineLevel="0" collapsed="false">
      <c r="B13" s="14" t="n">
        <f aca="false">IF(MONTH((DATE('Calendario anual'!$C$3,11,1)-WEEKDAY(DATE('Calendario anual'!$C$3,11,1),3)+28))=11,DAY((DATE('Calendario anual'!$C$3,11,1)-WEEKDAY(DATE('Calendario anual'!$C$3,11,1),3)+28)),"")</f>
        <v>29</v>
      </c>
      <c r="C13" s="14" t="n">
        <f aca="false">IF(MONTH((DATE('Calendario anual'!$C$3,11,1)-WEEKDAY(DATE('Calendario anual'!$C$3,11,1),3)+29))=11,DAY((DATE('Calendario anual'!$C$3,11,1)-WEEKDAY(DATE('Calendario anual'!$C$3,11,1),3)+29)),"")</f>
        <v>30</v>
      </c>
      <c r="D13" s="14" t="str">
        <f aca="false">IF(MONTH((DATE('Calendario anual'!$C$3,11,1)-WEEKDAY(DATE('Calendario anual'!$C$3,11,1),3)+30))=11,DAY((DATE('Calendario anual'!$C$3,11,1)-WEEKDAY(DATE('Calendario anual'!$C$3,11,1),3)+30)),"")</f>
        <v/>
      </c>
      <c r="E13" s="14" t="str">
        <f aca="false">IF(MONTH((DATE('Calendario anual'!$C$3,11,1)-WEEKDAY(DATE('Calendario anual'!$C$3,11,1),3)+31))=11,DAY((DATE('Calendario anual'!$C$3,11,1)-WEEKDAY(DATE('Calendario anual'!$C$3,11,1),3)+31)),"")</f>
        <v/>
      </c>
      <c r="F13" s="14" t="str">
        <f aca="false">IF(MONTH((DATE('Calendario anual'!$C$3,11,1)-WEEKDAY(DATE('Calendario anual'!$C$3,11,1),3)+32))=11,DAY((DATE('Calendario anual'!$C$3,11,1)-WEEKDAY(DATE('Calendario anual'!$C$3,11,1),3)+32)),"")</f>
        <v/>
      </c>
      <c r="G13" s="15" t="str">
        <f aca="false">IF(MONTH((DATE('Calendario anual'!$C$3,11,1)-WEEKDAY(DATE('Calendario anual'!$C$3,11,1),3)+33))=11,DAY((DATE('Calendario anual'!$C$3,11,1)-WEEKDAY(DATE('Calendario anual'!$C$3,11,1),3)+33)),"")</f>
        <v/>
      </c>
      <c r="H13" s="16" t="str">
        <f aca="false">IF(MONTH((DATE('Calendario anual'!$C$3,11,1)-WEEKDAY(DATE('Calendario anual'!$C$3,11,1),3)+34))=11,DAY((DATE('Calendario anual'!$C$3,11,1)-WEEKDAY(DATE('Calendario anual'!$C$3,11,1),3)+34)),"")</f>
        <v/>
      </c>
      <c r="J13" s="17"/>
    </row>
    <row r="14" customFormat="false" ht="57.75" hidden="false" customHeight="true" outlineLevel="0" collapsed="false">
      <c r="B14" s="18"/>
      <c r="C14" s="18"/>
      <c r="D14" s="18"/>
      <c r="E14" s="18"/>
      <c r="F14" s="18"/>
      <c r="G14" s="19"/>
      <c r="H14" s="19"/>
      <c r="J14" s="17"/>
    </row>
    <row r="15" customFormat="false" ht="19.5" hidden="false" customHeight="true" outlineLevel="0" collapsed="false">
      <c r="B15" s="14" t="str">
        <f aca="false">IF(MONTH((DATE('Calendario anual'!$C$3,11,1)-WEEKDAY(DATE('Calendario anual'!$C$3,11,1),3)+35))=11,DAY((DATE('Calendario anual'!$C$3,11,1)-WEEKDAY(DATE('Calendario anual'!$C$3,11,1),3)+35)),"")</f>
        <v/>
      </c>
      <c r="C15" s="14" t="str">
        <f aca="false">IF(MONTH((DATE('Calendario anual'!$C$3,11,1)-WEEKDAY(DATE('Calendario anual'!$C$3,11,1),3)+36))=11,DAY((DATE('Calendario anual'!$C$3,11,1)-WEEKDAY(DATE('Calendario anual'!$C$3,11,1),3)+36)),"")</f>
        <v/>
      </c>
      <c r="D15" s="14" t="str">
        <f aca="false">IF(MONTH((DATE('Calendario anual'!$C$3,11,1)-WEEKDAY(DATE('Calendario anual'!$C$3,11,1),3)+37))=11,DAY((DATE('Calendario anual'!$C$3,11,1)-WEEKDAY(DATE('Calendario anual'!$C$3,11,1),3)+37)),"")</f>
        <v/>
      </c>
      <c r="E15" s="14" t="str">
        <f aca="false">IF(MONTH((DATE('Calendario anual'!$C$3,11,1)-WEEKDAY(DATE('Calendario anual'!$C$3,11,1),3)+38))=11,DAY((DATE('Calendario anual'!$C$3,11,1)-WEEKDAY(DATE('Calendario anual'!$C$3,11,1),3)+38)),"")</f>
        <v/>
      </c>
      <c r="F15" s="14" t="str">
        <f aca="false">IF(MONTH((DATE('Calendario anual'!$C$3,11,1)-WEEKDAY(DATE('Calendario anual'!$C$3,11,1),3)+39))=11,DAY((DATE('Calendario anual'!$C$3,11,1)-WEEKDAY(DATE('Calendario anual'!$C$3,11,1),3)+39)),"")</f>
        <v/>
      </c>
      <c r="G15" s="15" t="str">
        <f aca="false">IF(MONTH((DATE('Calendario anual'!$C$3,11,1)-WEEKDAY(DATE('Calendario anual'!$C$3,11,1),3)+40))=11,DAY((DATE('Calendario anual'!$C$3,11,1)-WEEKDAY(DATE('Calendario anual'!$C$3,11,1),3)+40)),"")</f>
        <v/>
      </c>
      <c r="H15" s="16" t="str">
        <f aca="false">IF(MONTH((DATE('Calendario anual'!$C$3,11,1)-WEEKDAY(DATE('Calendario anual'!$C$3,11,1),3)+41))=11,DAY((DATE('Calendario anual'!$C$3,11,1)-WEEKDAY(DATE('Calendario anual'!$C$3,11,1),3)+41)),"")</f>
        <v/>
      </c>
      <c r="J15" s="17"/>
    </row>
    <row r="16" customFormat="false" ht="57.75" hidden="false" customHeight="true" outlineLevel="0" collapsed="false">
      <c r="B16" s="18"/>
      <c r="C16" s="18"/>
      <c r="D16" s="18"/>
      <c r="E16" s="18"/>
      <c r="F16" s="18"/>
      <c r="G16" s="19"/>
      <c r="H16" s="19"/>
      <c r="J16" s="17"/>
    </row>
    <row r="18" customFormat="false" ht="15" hidden="false" customHeight="false" outlineLevel="0" collapsed="false">
      <c r="B18" s="10" t="s">
        <v>21</v>
      </c>
    </row>
  </sheetData>
  <mergeCells count="1">
    <mergeCell ref="B2:H2"/>
  </mergeCells>
  <printOptions headings="false" gridLines="false" gridLinesSet="true" horizontalCentered="true" verticalCentered="false"/>
  <pageMargins left="0.35" right="0.35" top="0.4" bottom="0.55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19"/>
    <col collapsed="false" customWidth="true" hidden="false" outlineLevel="0" max="9" min="9" style="0" width="2"/>
    <col collapsed="false" customWidth="true" hidden="false" outlineLevel="0" max="10" min="10" style="0" width="32"/>
  </cols>
  <sheetData>
    <row r="2" customFormat="false" ht="39.75" hidden="false" customHeight="true" outlineLevel="0" collapsed="false">
      <c r="B2" s="11" t="str">
        <f aca="false">"DICIEMBRE "&amp;'Calendario anual'!$C$3</f>
        <v>DICIEMBRE 2027</v>
      </c>
      <c r="C2" s="11"/>
      <c r="D2" s="11"/>
      <c r="E2" s="11"/>
      <c r="F2" s="11"/>
      <c r="G2" s="11"/>
      <c r="H2" s="11"/>
    </row>
    <row r="4" customFormat="false" ht="21.75" hidden="false" customHeight="true" outlineLevel="0" collapsed="false">
      <c r="B4" s="12" t="s">
        <v>23</v>
      </c>
      <c r="C4" s="12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J4" s="13" t="s">
        <v>30</v>
      </c>
    </row>
    <row r="5" customFormat="false" ht="19.5" hidden="false" customHeight="true" outlineLevel="0" collapsed="false">
      <c r="B5" s="14" t="str">
        <f aca="false">IF(MONTH((DATE('Calendario anual'!$C$3,12,1)-WEEKDAY(DATE('Calendario anual'!$C$3,12,1),3)+0))=12,DAY((DATE('Calendario anual'!$C$3,12,1)-WEEKDAY(DATE('Calendario anual'!$C$3,12,1),3)+0)),"")</f>
        <v/>
      </c>
      <c r="C5" s="14" t="str">
        <f aca="false">IF(MONTH((DATE('Calendario anual'!$C$3,12,1)-WEEKDAY(DATE('Calendario anual'!$C$3,12,1),3)+1))=12,DAY((DATE('Calendario anual'!$C$3,12,1)-WEEKDAY(DATE('Calendario anual'!$C$3,12,1),3)+1)),"")</f>
        <v/>
      </c>
      <c r="D5" s="14" t="n">
        <f aca="false">IF(MONTH((DATE('Calendario anual'!$C$3,12,1)-WEEKDAY(DATE('Calendario anual'!$C$3,12,1),3)+2))=12,DAY((DATE('Calendario anual'!$C$3,12,1)-WEEKDAY(DATE('Calendario anual'!$C$3,12,1),3)+2)),"")</f>
        <v>1</v>
      </c>
      <c r="E5" s="14" t="n">
        <f aca="false">IF(MONTH((DATE('Calendario anual'!$C$3,12,1)-WEEKDAY(DATE('Calendario anual'!$C$3,12,1),3)+3))=12,DAY((DATE('Calendario anual'!$C$3,12,1)-WEEKDAY(DATE('Calendario anual'!$C$3,12,1),3)+3)),"")</f>
        <v>2</v>
      </c>
      <c r="F5" s="14" t="n">
        <f aca="false">IF(MONTH((DATE('Calendario anual'!$C$3,12,1)-WEEKDAY(DATE('Calendario anual'!$C$3,12,1),3)+4))=12,DAY((DATE('Calendario anual'!$C$3,12,1)-WEEKDAY(DATE('Calendario anual'!$C$3,12,1),3)+4)),"")</f>
        <v>3</v>
      </c>
      <c r="G5" s="15" t="n">
        <f aca="false">IF(MONTH((DATE('Calendario anual'!$C$3,12,1)-WEEKDAY(DATE('Calendario anual'!$C$3,12,1),3)+5))=12,DAY((DATE('Calendario anual'!$C$3,12,1)-WEEKDAY(DATE('Calendario anual'!$C$3,12,1),3)+5)),"")</f>
        <v>4</v>
      </c>
      <c r="H5" s="16" t="n">
        <f aca="false">IF(MONTH((DATE('Calendario anual'!$C$3,12,1)-WEEKDAY(DATE('Calendario anual'!$C$3,12,1),3)+6))=12,DAY((DATE('Calendario anual'!$C$3,12,1)-WEEKDAY(DATE('Calendario anual'!$C$3,12,1),3)+6)),"")</f>
        <v>5</v>
      </c>
      <c r="J5" s="17"/>
    </row>
    <row r="6" customFormat="false" ht="57.75" hidden="false" customHeight="true" outlineLevel="0" collapsed="false">
      <c r="B6" s="18"/>
      <c r="C6" s="18"/>
      <c r="D6" s="18"/>
      <c r="E6" s="18"/>
      <c r="F6" s="18"/>
      <c r="G6" s="19"/>
      <c r="H6" s="19"/>
      <c r="J6" s="17"/>
    </row>
    <row r="7" customFormat="false" ht="19.5" hidden="false" customHeight="true" outlineLevel="0" collapsed="false">
      <c r="B7" s="14" t="n">
        <f aca="false">IF(MONTH((DATE('Calendario anual'!$C$3,12,1)-WEEKDAY(DATE('Calendario anual'!$C$3,12,1),3)+7))=12,DAY((DATE('Calendario anual'!$C$3,12,1)-WEEKDAY(DATE('Calendario anual'!$C$3,12,1),3)+7)),"")</f>
        <v>6</v>
      </c>
      <c r="C7" s="14" t="n">
        <f aca="false">IF(MONTH((DATE('Calendario anual'!$C$3,12,1)-WEEKDAY(DATE('Calendario anual'!$C$3,12,1),3)+8))=12,DAY((DATE('Calendario anual'!$C$3,12,1)-WEEKDAY(DATE('Calendario anual'!$C$3,12,1),3)+8)),"")</f>
        <v>7</v>
      </c>
      <c r="D7" s="14" t="n">
        <f aca="false">IF(MONTH((DATE('Calendario anual'!$C$3,12,1)-WEEKDAY(DATE('Calendario anual'!$C$3,12,1),3)+9))=12,DAY((DATE('Calendario anual'!$C$3,12,1)-WEEKDAY(DATE('Calendario anual'!$C$3,12,1),3)+9)),"")</f>
        <v>8</v>
      </c>
      <c r="E7" s="14" t="n">
        <f aca="false">IF(MONTH((DATE('Calendario anual'!$C$3,12,1)-WEEKDAY(DATE('Calendario anual'!$C$3,12,1),3)+10))=12,DAY((DATE('Calendario anual'!$C$3,12,1)-WEEKDAY(DATE('Calendario anual'!$C$3,12,1),3)+10)),"")</f>
        <v>9</v>
      </c>
      <c r="F7" s="14" t="n">
        <f aca="false">IF(MONTH((DATE('Calendario anual'!$C$3,12,1)-WEEKDAY(DATE('Calendario anual'!$C$3,12,1),3)+11))=12,DAY((DATE('Calendario anual'!$C$3,12,1)-WEEKDAY(DATE('Calendario anual'!$C$3,12,1),3)+11)),"")</f>
        <v>10</v>
      </c>
      <c r="G7" s="15" t="n">
        <f aca="false">IF(MONTH((DATE('Calendario anual'!$C$3,12,1)-WEEKDAY(DATE('Calendario anual'!$C$3,12,1),3)+12))=12,DAY((DATE('Calendario anual'!$C$3,12,1)-WEEKDAY(DATE('Calendario anual'!$C$3,12,1),3)+12)),"")</f>
        <v>11</v>
      </c>
      <c r="H7" s="16" t="n">
        <f aca="false">IF(MONTH((DATE('Calendario anual'!$C$3,12,1)-WEEKDAY(DATE('Calendario anual'!$C$3,12,1),3)+13))=12,DAY((DATE('Calendario anual'!$C$3,12,1)-WEEKDAY(DATE('Calendario anual'!$C$3,12,1),3)+13)),"")</f>
        <v>12</v>
      </c>
      <c r="J7" s="17"/>
    </row>
    <row r="8" customFormat="false" ht="57.75" hidden="false" customHeight="true" outlineLevel="0" collapsed="false">
      <c r="B8" s="18"/>
      <c r="C8" s="18"/>
      <c r="D8" s="18"/>
      <c r="E8" s="18"/>
      <c r="F8" s="18"/>
      <c r="G8" s="19"/>
      <c r="H8" s="19"/>
      <c r="J8" s="17"/>
    </row>
    <row r="9" customFormat="false" ht="19.5" hidden="false" customHeight="true" outlineLevel="0" collapsed="false">
      <c r="B9" s="14" t="n">
        <f aca="false">IF(MONTH((DATE('Calendario anual'!$C$3,12,1)-WEEKDAY(DATE('Calendario anual'!$C$3,12,1),3)+14))=12,DAY((DATE('Calendario anual'!$C$3,12,1)-WEEKDAY(DATE('Calendario anual'!$C$3,12,1),3)+14)),"")</f>
        <v>13</v>
      </c>
      <c r="C9" s="14" t="n">
        <f aca="false">IF(MONTH((DATE('Calendario anual'!$C$3,12,1)-WEEKDAY(DATE('Calendario anual'!$C$3,12,1),3)+15))=12,DAY((DATE('Calendario anual'!$C$3,12,1)-WEEKDAY(DATE('Calendario anual'!$C$3,12,1),3)+15)),"")</f>
        <v>14</v>
      </c>
      <c r="D9" s="14" t="n">
        <f aca="false">IF(MONTH((DATE('Calendario anual'!$C$3,12,1)-WEEKDAY(DATE('Calendario anual'!$C$3,12,1),3)+16))=12,DAY((DATE('Calendario anual'!$C$3,12,1)-WEEKDAY(DATE('Calendario anual'!$C$3,12,1),3)+16)),"")</f>
        <v>15</v>
      </c>
      <c r="E9" s="14" t="n">
        <f aca="false">IF(MONTH((DATE('Calendario anual'!$C$3,12,1)-WEEKDAY(DATE('Calendario anual'!$C$3,12,1),3)+17))=12,DAY((DATE('Calendario anual'!$C$3,12,1)-WEEKDAY(DATE('Calendario anual'!$C$3,12,1),3)+17)),"")</f>
        <v>16</v>
      </c>
      <c r="F9" s="14" t="n">
        <f aca="false">IF(MONTH((DATE('Calendario anual'!$C$3,12,1)-WEEKDAY(DATE('Calendario anual'!$C$3,12,1),3)+18))=12,DAY((DATE('Calendario anual'!$C$3,12,1)-WEEKDAY(DATE('Calendario anual'!$C$3,12,1),3)+18)),"")</f>
        <v>17</v>
      </c>
      <c r="G9" s="15" t="n">
        <f aca="false">IF(MONTH((DATE('Calendario anual'!$C$3,12,1)-WEEKDAY(DATE('Calendario anual'!$C$3,12,1),3)+19))=12,DAY((DATE('Calendario anual'!$C$3,12,1)-WEEKDAY(DATE('Calendario anual'!$C$3,12,1),3)+19)),"")</f>
        <v>18</v>
      </c>
      <c r="H9" s="16" t="n">
        <f aca="false">IF(MONTH((DATE('Calendario anual'!$C$3,12,1)-WEEKDAY(DATE('Calendario anual'!$C$3,12,1),3)+20))=12,DAY((DATE('Calendario anual'!$C$3,12,1)-WEEKDAY(DATE('Calendario anual'!$C$3,12,1),3)+20)),"")</f>
        <v>19</v>
      </c>
      <c r="J9" s="17"/>
    </row>
    <row r="10" customFormat="false" ht="57.75" hidden="false" customHeight="true" outlineLevel="0" collapsed="false">
      <c r="B10" s="18"/>
      <c r="C10" s="18"/>
      <c r="D10" s="18"/>
      <c r="E10" s="18"/>
      <c r="F10" s="18"/>
      <c r="G10" s="19"/>
      <c r="H10" s="19"/>
      <c r="J10" s="17"/>
    </row>
    <row r="11" customFormat="false" ht="19.5" hidden="false" customHeight="true" outlineLevel="0" collapsed="false">
      <c r="B11" s="14" t="n">
        <f aca="false">IF(MONTH((DATE('Calendario anual'!$C$3,12,1)-WEEKDAY(DATE('Calendario anual'!$C$3,12,1),3)+21))=12,DAY((DATE('Calendario anual'!$C$3,12,1)-WEEKDAY(DATE('Calendario anual'!$C$3,12,1),3)+21)),"")</f>
        <v>20</v>
      </c>
      <c r="C11" s="14" t="n">
        <f aca="false">IF(MONTH((DATE('Calendario anual'!$C$3,12,1)-WEEKDAY(DATE('Calendario anual'!$C$3,12,1),3)+22))=12,DAY((DATE('Calendario anual'!$C$3,12,1)-WEEKDAY(DATE('Calendario anual'!$C$3,12,1),3)+22)),"")</f>
        <v>21</v>
      </c>
      <c r="D11" s="14" t="n">
        <f aca="false">IF(MONTH((DATE('Calendario anual'!$C$3,12,1)-WEEKDAY(DATE('Calendario anual'!$C$3,12,1),3)+23))=12,DAY((DATE('Calendario anual'!$C$3,12,1)-WEEKDAY(DATE('Calendario anual'!$C$3,12,1),3)+23)),"")</f>
        <v>22</v>
      </c>
      <c r="E11" s="14" t="n">
        <f aca="false">IF(MONTH((DATE('Calendario anual'!$C$3,12,1)-WEEKDAY(DATE('Calendario anual'!$C$3,12,1),3)+24))=12,DAY((DATE('Calendario anual'!$C$3,12,1)-WEEKDAY(DATE('Calendario anual'!$C$3,12,1),3)+24)),"")</f>
        <v>23</v>
      </c>
      <c r="F11" s="14" t="n">
        <f aca="false">IF(MONTH((DATE('Calendario anual'!$C$3,12,1)-WEEKDAY(DATE('Calendario anual'!$C$3,12,1),3)+25))=12,DAY((DATE('Calendario anual'!$C$3,12,1)-WEEKDAY(DATE('Calendario anual'!$C$3,12,1),3)+25)),"")</f>
        <v>24</v>
      </c>
      <c r="G11" s="15" t="n">
        <f aca="false">IF(MONTH((DATE('Calendario anual'!$C$3,12,1)-WEEKDAY(DATE('Calendario anual'!$C$3,12,1),3)+26))=12,DAY((DATE('Calendario anual'!$C$3,12,1)-WEEKDAY(DATE('Calendario anual'!$C$3,12,1),3)+26)),"")</f>
        <v>25</v>
      </c>
      <c r="H11" s="16" t="n">
        <f aca="false">IF(MONTH((DATE('Calendario anual'!$C$3,12,1)-WEEKDAY(DATE('Calendario anual'!$C$3,12,1),3)+27))=12,DAY((DATE('Calendario anual'!$C$3,12,1)-WEEKDAY(DATE('Calendario anual'!$C$3,12,1),3)+27)),"")</f>
        <v>26</v>
      </c>
      <c r="J11" s="17"/>
    </row>
    <row r="12" customFormat="false" ht="57.75" hidden="false" customHeight="true" outlineLevel="0" collapsed="false">
      <c r="B12" s="18"/>
      <c r="C12" s="18"/>
      <c r="D12" s="18"/>
      <c r="E12" s="18"/>
      <c r="F12" s="18"/>
      <c r="G12" s="19"/>
      <c r="H12" s="19"/>
      <c r="J12" s="17"/>
    </row>
    <row r="13" customFormat="false" ht="19.5" hidden="false" customHeight="true" outlineLevel="0" collapsed="false">
      <c r="B13" s="14" t="n">
        <f aca="false">IF(MONTH((DATE('Calendario anual'!$C$3,12,1)-WEEKDAY(DATE('Calendario anual'!$C$3,12,1),3)+28))=12,DAY((DATE('Calendario anual'!$C$3,12,1)-WEEKDAY(DATE('Calendario anual'!$C$3,12,1),3)+28)),"")</f>
        <v>27</v>
      </c>
      <c r="C13" s="14" t="n">
        <f aca="false">IF(MONTH((DATE('Calendario anual'!$C$3,12,1)-WEEKDAY(DATE('Calendario anual'!$C$3,12,1),3)+29))=12,DAY((DATE('Calendario anual'!$C$3,12,1)-WEEKDAY(DATE('Calendario anual'!$C$3,12,1),3)+29)),"")</f>
        <v>28</v>
      </c>
      <c r="D13" s="14" t="n">
        <f aca="false">IF(MONTH((DATE('Calendario anual'!$C$3,12,1)-WEEKDAY(DATE('Calendario anual'!$C$3,12,1),3)+30))=12,DAY((DATE('Calendario anual'!$C$3,12,1)-WEEKDAY(DATE('Calendario anual'!$C$3,12,1),3)+30)),"")</f>
        <v>29</v>
      </c>
      <c r="E13" s="14" t="n">
        <f aca="false">IF(MONTH((DATE('Calendario anual'!$C$3,12,1)-WEEKDAY(DATE('Calendario anual'!$C$3,12,1),3)+31))=12,DAY((DATE('Calendario anual'!$C$3,12,1)-WEEKDAY(DATE('Calendario anual'!$C$3,12,1),3)+31)),"")</f>
        <v>30</v>
      </c>
      <c r="F13" s="14" t="n">
        <f aca="false">IF(MONTH((DATE('Calendario anual'!$C$3,12,1)-WEEKDAY(DATE('Calendario anual'!$C$3,12,1),3)+32))=12,DAY((DATE('Calendario anual'!$C$3,12,1)-WEEKDAY(DATE('Calendario anual'!$C$3,12,1),3)+32)),"")</f>
        <v>31</v>
      </c>
      <c r="G13" s="15" t="str">
        <f aca="false">IF(MONTH((DATE('Calendario anual'!$C$3,12,1)-WEEKDAY(DATE('Calendario anual'!$C$3,12,1),3)+33))=12,DAY((DATE('Calendario anual'!$C$3,12,1)-WEEKDAY(DATE('Calendario anual'!$C$3,12,1),3)+33)),"")</f>
        <v/>
      </c>
      <c r="H13" s="16" t="str">
        <f aca="false">IF(MONTH((DATE('Calendario anual'!$C$3,12,1)-WEEKDAY(DATE('Calendario anual'!$C$3,12,1),3)+34))=12,DAY((DATE('Calendario anual'!$C$3,12,1)-WEEKDAY(DATE('Calendario anual'!$C$3,12,1),3)+34)),"")</f>
        <v/>
      </c>
      <c r="J13" s="17"/>
    </row>
    <row r="14" customFormat="false" ht="57.75" hidden="false" customHeight="true" outlineLevel="0" collapsed="false">
      <c r="B14" s="18"/>
      <c r="C14" s="18"/>
      <c r="D14" s="18"/>
      <c r="E14" s="18"/>
      <c r="F14" s="18"/>
      <c r="G14" s="19"/>
      <c r="H14" s="19"/>
      <c r="J14" s="17"/>
    </row>
    <row r="15" customFormat="false" ht="19.5" hidden="false" customHeight="true" outlineLevel="0" collapsed="false">
      <c r="B15" s="14" t="str">
        <f aca="false">IF(MONTH((DATE('Calendario anual'!$C$3,12,1)-WEEKDAY(DATE('Calendario anual'!$C$3,12,1),3)+35))=12,DAY((DATE('Calendario anual'!$C$3,12,1)-WEEKDAY(DATE('Calendario anual'!$C$3,12,1),3)+35)),"")</f>
        <v/>
      </c>
      <c r="C15" s="14" t="str">
        <f aca="false">IF(MONTH((DATE('Calendario anual'!$C$3,12,1)-WEEKDAY(DATE('Calendario anual'!$C$3,12,1),3)+36))=12,DAY((DATE('Calendario anual'!$C$3,12,1)-WEEKDAY(DATE('Calendario anual'!$C$3,12,1),3)+36)),"")</f>
        <v/>
      </c>
      <c r="D15" s="14" t="str">
        <f aca="false">IF(MONTH((DATE('Calendario anual'!$C$3,12,1)-WEEKDAY(DATE('Calendario anual'!$C$3,12,1),3)+37))=12,DAY((DATE('Calendario anual'!$C$3,12,1)-WEEKDAY(DATE('Calendario anual'!$C$3,12,1),3)+37)),"")</f>
        <v/>
      </c>
      <c r="E15" s="14" t="str">
        <f aca="false">IF(MONTH((DATE('Calendario anual'!$C$3,12,1)-WEEKDAY(DATE('Calendario anual'!$C$3,12,1),3)+38))=12,DAY((DATE('Calendario anual'!$C$3,12,1)-WEEKDAY(DATE('Calendario anual'!$C$3,12,1),3)+38)),"")</f>
        <v/>
      </c>
      <c r="F15" s="14" t="str">
        <f aca="false">IF(MONTH((DATE('Calendario anual'!$C$3,12,1)-WEEKDAY(DATE('Calendario anual'!$C$3,12,1),3)+39))=12,DAY((DATE('Calendario anual'!$C$3,12,1)-WEEKDAY(DATE('Calendario anual'!$C$3,12,1),3)+39)),"")</f>
        <v/>
      </c>
      <c r="G15" s="15" t="str">
        <f aca="false">IF(MONTH((DATE('Calendario anual'!$C$3,12,1)-WEEKDAY(DATE('Calendario anual'!$C$3,12,1),3)+40))=12,DAY((DATE('Calendario anual'!$C$3,12,1)-WEEKDAY(DATE('Calendario anual'!$C$3,12,1),3)+40)),"")</f>
        <v/>
      </c>
      <c r="H15" s="16" t="str">
        <f aca="false">IF(MONTH((DATE('Calendario anual'!$C$3,12,1)-WEEKDAY(DATE('Calendario anual'!$C$3,12,1),3)+41))=12,DAY((DATE('Calendario anual'!$C$3,12,1)-WEEKDAY(DATE('Calendario anual'!$C$3,12,1),3)+41)),"")</f>
        <v/>
      </c>
      <c r="J15" s="17"/>
    </row>
    <row r="16" customFormat="false" ht="57.75" hidden="false" customHeight="true" outlineLevel="0" collapsed="false">
      <c r="B16" s="18"/>
      <c r="C16" s="18"/>
      <c r="D16" s="18"/>
      <c r="E16" s="18"/>
      <c r="F16" s="18"/>
      <c r="G16" s="19"/>
      <c r="H16" s="19"/>
      <c r="J16" s="17"/>
    </row>
    <row r="18" customFormat="false" ht="15" hidden="false" customHeight="false" outlineLevel="0" collapsed="false">
      <c r="B18" s="10" t="s">
        <v>21</v>
      </c>
    </row>
  </sheetData>
  <mergeCells count="1">
    <mergeCell ref="B2:H2"/>
  </mergeCells>
  <printOptions headings="false" gridLines="false" gridLinesSet="true" horizontalCentered="true" verticalCentered="false"/>
  <pageMargins left="0.35" right="0.35" top="0.4" bottom="0.55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Plantilla Lista</cp:category>
  <dcterms:created xsi:type="dcterms:W3CDTF">2026-11-05T01:07:10Z</dcterms:created>
  <dc:creator>Plantilla Lista · plantillalista.com</dc:creator>
  <dc:description>© 2026 Plantilla Lista · plantillalista.com · Uso libre personal y de negocio. Prohibida su venta o redistribución.</dc:description>
  <cp:keywords>calendario 2027 plantilla gratis plantillalista.com</cp:keywords>
  <dc:language>en-US</dc:language>
  <cp:lastModifiedBy>Plantilla Lista</cp:lastModifiedBy>
  <dcterms:modified xsi:type="dcterms:W3CDTF">2026-11-05T01:07:10Z</dcterms:modified>
  <cp:revision>0</cp:revision>
  <dc:subject>Calendario 2027 editable e imprimible</dc:subject>
  <dc:title>Calendario 2027 en Excel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